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secloud.sharepoint.com/sites/e235671b8a0d488097be47abca6af8f6/Delade dokument/General/3.  Projektgenomförande/Rapport leverans/Kalkyl/"/>
    </mc:Choice>
  </mc:AlternateContent>
  <xr:revisionPtr revIDLastSave="42" documentId="8_{A5767EB5-851C-47A2-BA5C-FF3BF5DB5406}" xr6:coauthVersionLast="47" xr6:coauthVersionMax="47" xr10:uidLastSave="{7D14DDC1-7E2E-437E-BBBD-050BAAAED51E}"/>
  <bookViews>
    <workbookView xWindow="28680" yWindow="-120" windowWidth="29040" windowHeight="17640" activeTab="1" xr2:uid="{00000000-000D-0000-FFFF-FFFF00000000}"/>
  </bookViews>
  <sheets>
    <sheet name="Underlag" sheetId="10" r:id="rId1"/>
    <sheet name="Investeringskalkyl" sheetId="9" r:id="rId2"/>
    <sheet name="Känslighetsanalys" sheetId="6" r:id="rId3"/>
    <sheet name="Data" sheetId="8" state="hidden" r:id="rId4"/>
    <sheet name="Version" sheetId="7" state="hidden" r:id="rId5"/>
  </sheets>
  <definedNames>
    <definedName name="a">#REF!</definedName>
    <definedName name="Base_Data_Input_Page" localSheetId="1">#REF!</definedName>
    <definedName name="Base_Data_Input_Page">#REF!</definedName>
    <definedName name="Benefits_Realized" localSheetId="1">#REF!</definedName>
    <definedName name="Benefits_Realized">#REF!</definedName>
    <definedName name="Cash___ROI_Statement" localSheetId="1">#REF!</definedName>
    <definedName name="Cash___ROI_Statement">#REF!</definedName>
    <definedName name="Compensation_Revenue" localSheetId="1">#REF!</definedName>
    <definedName name="Compensation_Revenue">#REF!</definedName>
    <definedName name="Cost_of_Vacancy_of_Sales_and_Service_Employees" localSheetId="1">#REF!</definedName>
    <definedName name="Cost_of_Vacancy_of_Sales_and_Service_Employees">#REF!</definedName>
    <definedName name="Direct_Savings_from_ASP_strategy" localSheetId="1">#REF!</definedName>
    <definedName name="Direct_Savings_from_ASP_strategy">#REF!</definedName>
    <definedName name="Discounted_Cash_Flow" localSheetId="1">#REF!</definedName>
    <definedName name="Discounted_Cash_Flow">#REF!</definedName>
    <definedName name="Do_you_wish_to_include_timeliness_and_adequacy_calculation?" localSheetId="1">#REF!</definedName>
    <definedName name="Do_you_wish_to_include_timeliness_and_adequacy_calculation?">#REF!</definedName>
    <definedName name="dsd" localSheetId="1">#REF!</definedName>
    <definedName name="dsd">#REF!</definedName>
    <definedName name="Enter_number" localSheetId="1">#REF!</definedName>
    <definedName name="Enter_number">#REF!</definedName>
    <definedName name="External_Time_to_Start__Total" localSheetId="1">#REF!</definedName>
    <definedName name="External_Time_to_Start__Total">#REF!</definedName>
    <definedName name="Human_Capital_Income_Statement" localSheetId="1">#REF!</definedName>
    <definedName name="Human_Capital_Income_Statement">#REF!</definedName>
    <definedName name="Human_Capital_Return_On_Investment" localSheetId="1">#REF!</definedName>
    <definedName name="Human_Capital_Return_On_Investment">#REF!</definedName>
    <definedName name="Intangible_Benefits_Summary" localSheetId="1">#REF!</definedName>
    <definedName name="Intangible_Benefits_Summary">#REF!</definedName>
    <definedName name="NPV" localSheetId="1">#REF!</definedName>
    <definedName name="NPV">#REF!</definedName>
    <definedName name="Operating_Expense_Factor" localSheetId="1">#REF!</definedName>
    <definedName name="Operating_Expense_Factor">#REF!</definedName>
    <definedName name="Payback__years" localSheetId="1">#REF!</definedName>
    <definedName name="Payback__years">#REF!</definedName>
    <definedName name="Reduce_Turnover_of_Top_Performers" localSheetId="1">#REF!</definedName>
    <definedName name="Reduce_Turnover_of_Top_Performers">#REF!</definedName>
    <definedName name="Reduce_Turnover_Timely_Compensation_Review_Increase_Utilization" localSheetId="1">#REF!</definedName>
    <definedName name="Reduce_Turnover_Timely_Compensation_Review_Increase_Utilization">#REF!</definedName>
    <definedName name="ROI" localSheetId="1">#REF!</definedName>
    <definedName name="ROI">#REF!</definedName>
    <definedName name="Separation_Rate" localSheetId="1">#REF!</definedName>
    <definedName name="Separation_Rate">#REF!</definedName>
    <definedName name="Shorten_Compensation_Planning_Cycle_time_for_Compensation_Group" localSheetId="1">#REF!</definedName>
    <definedName name="Shorten_Compensation_Planning_Cycle_time_for_Compensation_Group">#REF!</definedName>
    <definedName name="ss" localSheetId="1">#REF!</definedName>
    <definedName name="ss">#REF!</definedName>
    <definedName name="Total_Compensation_Expense" localSheetId="1">#REF!</definedName>
    <definedName name="Total_Compensation_Expense">#REF!</definedName>
    <definedName name="Total_Labor_Cost_Revenue" localSheetId="1">#REF!</definedName>
    <definedName name="Total_Labor_Cost_Revenue">#REF!</definedName>
    <definedName name="_xlnm.Print_Area" localSheetId="1">Investeringskalkyl!$B$2:$R$37,Investeringskalkyl!$B$39:$R$73</definedName>
    <definedName name="_xlnm.Print_Area" localSheetId="2">Känslighetsanalys!$A$1:$M$36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0" l="1"/>
  <c r="J7" i="10" s="1"/>
  <c r="K7" i="10" s="1"/>
  <c r="L7" i="10" s="1"/>
  <c r="M7" i="10" s="1"/>
  <c r="N7" i="10" s="1"/>
  <c r="O7" i="10" s="1"/>
  <c r="P7" i="10" s="1"/>
  <c r="H7" i="10"/>
  <c r="H13" i="10" s="1"/>
  <c r="G26" i="9"/>
  <c r="H26" i="9"/>
  <c r="I26" i="9"/>
  <c r="J26" i="9" s="1"/>
  <c r="K26" i="9" s="1"/>
  <c r="L26" i="9" s="1"/>
  <c r="M26" i="9" s="1"/>
  <c r="N26" i="9" s="1"/>
  <c r="O26" i="9" s="1"/>
  <c r="P26" i="9" s="1"/>
  <c r="F26" i="9"/>
  <c r="H23" i="10"/>
  <c r="I23" i="10"/>
  <c r="J23" i="10"/>
  <c r="K23" i="10"/>
  <c r="L23" i="10"/>
  <c r="M23" i="10"/>
  <c r="N23" i="10"/>
  <c r="O23" i="10"/>
  <c r="P23" i="10"/>
  <c r="E23" i="10"/>
  <c r="F23" i="10"/>
  <c r="G23" i="10"/>
  <c r="M9" i="10"/>
  <c r="N9" i="10"/>
  <c r="O9" i="10"/>
  <c r="P9" i="10"/>
  <c r="L9" i="10"/>
  <c r="H9" i="10"/>
  <c r="I9" i="10"/>
  <c r="J9" i="10"/>
  <c r="K9" i="10"/>
  <c r="S12" i="10"/>
  <c r="G9" i="10"/>
  <c r="I5" i="10"/>
  <c r="J5" i="10"/>
  <c r="K5" i="10"/>
  <c r="L5" i="10"/>
  <c r="M5" i="10"/>
  <c r="N5" i="10" s="1"/>
  <c r="H5" i="10"/>
  <c r="P8" i="10"/>
  <c r="O8" i="10"/>
  <c r="O11" i="10" s="1"/>
  <c r="N8" i="10"/>
  <c r="N11" i="10" s="1"/>
  <c r="M8" i="10"/>
  <c r="M11" i="10" s="1"/>
  <c r="L8" i="10"/>
  <c r="K8" i="10"/>
  <c r="J8" i="10"/>
  <c r="J11" i="10" s="1"/>
  <c r="I8" i="10"/>
  <c r="I11" i="10" s="1"/>
  <c r="H8" i="10"/>
  <c r="H11" i="10" s="1"/>
  <c r="G8" i="10"/>
  <c r="G11" i="10" s="1"/>
  <c r="G5" i="10"/>
  <c r="G13" i="10" s="1"/>
  <c r="P11" i="10" l="1"/>
  <c r="O5" i="10"/>
  <c r="N13" i="10"/>
  <c r="M13" i="10"/>
  <c r="K13" i="10"/>
  <c r="L13" i="10"/>
  <c r="I13" i="10"/>
  <c r="J13" i="10"/>
  <c r="K11" i="10"/>
  <c r="L11" i="10"/>
  <c r="O13" i="10" l="1"/>
  <c r="P5" i="10"/>
  <c r="P13" i="10" s="1"/>
  <c r="F25" i="10"/>
  <c r="G25" i="10"/>
  <c r="H25" i="10"/>
  <c r="I25" i="10"/>
  <c r="J25" i="10"/>
  <c r="K25" i="10"/>
  <c r="L25" i="10"/>
  <c r="M25" i="10"/>
  <c r="N25" i="10"/>
  <c r="O25" i="10"/>
  <c r="P25" i="10"/>
  <c r="F22" i="10"/>
  <c r="G22" i="10" s="1"/>
  <c r="H22" i="10" s="1"/>
  <c r="I22" i="10" s="1"/>
  <c r="J22" i="10" s="1"/>
  <c r="K22" i="10" s="1"/>
  <c r="L22" i="10" s="1"/>
  <c r="M22" i="10" s="1"/>
  <c r="N22" i="10" s="1"/>
  <c r="O22" i="10" s="1"/>
  <c r="P22" i="10" s="1"/>
  <c r="E25" i="10"/>
  <c r="F28" i="9"/>
  <c r="G28" i="9" s="1"/>
  <c r="H28" i="9" s="1"/>
  <c r="I28" i="9" s="1"/>
  <c r="J28" i="9" s="1"/>
  <c r="K28" i="9" s="1"/>
  <c r="L28" i="9" s="1"/>
  <c r="M28" i="9" s="1"/>
  <c r="N28" i="9" s="1"/>
  <c r="O28" i="9" s="1"/>
  <c r="P28" i="9" s="1"/>
  <c r="F9" i="6"/>
  <c r="E9" i="6"/>
  <c r="D9" i="6"/>
  <c r="G8" i="6"/>
  <c r="F8" i="6"/>
  <c r="E8" i="6"/>
  <c r="D8" i="6"/>
  <c r="B77" i="9"/>
  <c r="D151" i="9"/>
  <c r="D150" i="9"/>
  <c r="D149" i="9"/>
  <c r="D153" i="9" s="1"/>
  <c r="D154" i="9" s="1"/>
  <c r="D46" i="6" s="1"/>
  <c r="D116" i="9"/>
  <c r="D117" i="9" s="1"/>
  <c r="D43" i="6" s="1"/>
  <c r="D138" i="9"/>
  <c r="D139" i="9" s="1"/>
  <c r="D45" i="6" s="1"/>
  <c r="D127" i="9"/>
  <c r="D128" i="9" s="1"/>
  <c r="D44" i="6" s="1"/>
  <c r="J105" i="9" l="1"/>
  <c r="D90" i="9"/>
  <c r="D91" i="9"/>
  <c r="E105" i="9"/>
  <c r="F105" i="9"/>
  <c r="G105" i="9"/>
  <c r="H105" i="9"/>
  <c r="I105" i="9"/>
  <c r="K105" i="9"/>
  <c r="L105" i="9"/>
  <c r="M105" i="9"/>
  <c r="N105" i="9"/>
  <c r="O105" i="9"/>
  <c r="P105" i="9"/>
  <c r="Q105" i="9"/>
  <c r="R105" i="9"/>
  <c r="S105" i="9"/>
  <c r="T105" i="9"/>
  <c r="U105" i="9"/>
  <c r="V105" i="9"/>
  <c r="W105" i="9"/>
  <c r="X105" i="9"/>
  <c r="Y105" i="9"/>
  <c r="Z105" i="9"/>
  <c r="AA105" i="9"/>
  <c r="AB105" i="9"/>
  <c r="AC105" i="9"/>
  <c r="AD105" i="9"/>
  <c r="AE105" i="9"/>
  <c r="AF105" i="9"/>
  <c r="AG105" i="9"/>
  <c r="AH105" i="9"/>
  <c r="D94" i="9"/>
  <c r="D98" i="9" s="1"/>
  <c r="D42" i="6" s="1"/>
  <c r="AH107" i="9"/>
  <c r="C12" i="8"/>
  <c r="AI105" i="9" l="1"/>
  <c r="U82" i="9"/>
  <c r="AB86" i="9"/>
  <c r="I82" i="9"/>
  <c r="AG81" i="9"/>
  <c r="Y83" i="9"/>
  <c r="Q80" i="9"/>
  <c r="H77" i="9"/>
  <c r="T81" i="9"/>
  <c r="AF81" i="9"/>
  <c r="X80" i="9"/>
  <c r="P80" i="9"/>
  <c r="G86" i="9"/>
  <c r="AC77" i="9"/>
  <c r="AH86" i="9"/>
  <c r="R80" i="9"/>
  <c r="AE83" i="9"/>
  <c r="W80" i="9"/>
  <c r="O82" i="9"/>
  <c r="AD80" i="9"/>
  <c r="V83" i="9"/>
  <c r="N86" i="9"/>
  <c r="M82" i="9"/>
  <c r="L80" i="9"/>
  <c r="S83" i="9"/>
  <c r="K77" i="9"/>
  <c r="J81" i="9"/>
  <c r="F81" i="9"/>
  <c r="E77" i="9"/>
  <c r="D97" i="9"/>
  <c r="U80" i="9"/>
  <c r="U81" i="9"/>
  <c r="W82" i="9"/>
  <c r="O77" i="9"/>
  <c r="X82" i="9"/>
  <c r="P82" i="9"/>
  <c r="U86" i="9"/>
  <c r="O83" i="9"/>
  <c r="AC86" i="9"/>
  <c r="O86" i="9"/>
  <c r="AE80" i="9"/>
  <c r="U77" i="9"/>
  <c r="AF83" i="9"/>
  <c r="V77" i="9"/>
  <c r="Y80" i="9"/>
  <c r="Z83" i="9"/>
  <c r="P77" i="9"/>
  <c r="O81" i="9"/>
  <c r="R82" i="9"/>
  <c r="P86" i="9"/>
  <c r="W77" i="9"/>
  <c r="V81" i="9"/>
  <c r="T83" i="9"/>
  <c r="W86" i="9"/>
  <c r="Z80" i="9"/>
  <c r="AC81" i="9"/>
  <c r="AA83" i="9"/>
  <c r="Y77" i="9"/>
  <c r="AF80" i="9"/>
  <c r="AD82" i="9"/>
  <c r="AG83" i="9"/>
  <c r="S80" i="9"/>
  <c r="Q82" i="9"/>
  <c r="V86" i="9"/>
  <c r="AB81" i="9"/>
  <c r="AH81" i="9"/>
  <c r="Q77" i="9"/>
  <c r="P81" i="9"/>
  <c r="S82" i="9"/>
  <c r="Q86" i="9"/>
  <c r="T80" i="9"/>
  <c r="W81" i="9"/>
  <c r="U83" i="9"/>
  <c r="X86" i="9"/>
  <c r="AA80" i="9"/>
  <c r="Y82" i="9"/>
  <c r="AB83" i="9"/>
  <c r="AD77" i="9"/>
  <c r="AG80" i="9"/>
  <c r="AE82" i="9"/>
  <c r="AH83" i="9"/>
  <c r="X81" i="9"/>
  <c r="X77" i="9"/>
  <c r="AB80" i="9"/>
  <c r="Z82" i="9"/>
  <c r="AC83" i="9"/>
  <c r="AE77" i="9"/>
  <c r="AH80" i="9"/>
  <c r="AF82" i="9"/>
  <c r="AD86" i="9"/>
  <c r="R77" i="9"/>
  <c r="Q81" i="9"/>
  <c r="R86" i="9"/>
  <c r="O80" i="9"/>
  <c r="R81" i="9"/>
  <c r="P83" i="9"/>
  <c r="S86" i="9"/>
  <c r="V80" i="9"/>
  <c r="T82" i="9"/>
  <c r="W83" i="9"/>
  <c r="Z77" i="9"/>
  <c r="AC80" i="9"/>
  <c r="AA82" i="9"/>
  <c r="Y86" i="9"/>
  <c r="AF77" i="9"/>
  <c r="AD81" i="9"/>
  <c r="AG82" i="9"/>
  <c r="AE86" i="9"/>
  <c r="S81" i="9"/>
  <c r="Q83" i="9"/>
  <c r="S77" i="9"/>
  <c r="X83" i="9"/>
  <c r="AA77" i="9"/>
  <c r="Y81" i="9"/>
  <c r="AB82" i="9"/>
  <c r="Z86" i="9"/>
  <c r="AG77" i="9"/>
  <c r="AE81" i="9"/>
  <c r="AH82" i="9"/>
  <c r="AF86" i="9"/>
  <c r="R83" i="9"/>
  <c r="T77" i="9"/>
  <c r="V82" i="9"/>
  <c r="T86" i="9"/>
  <c r="AB77" i="9"/>
  <c r="Z81" i="9"/>
  <c r="AC82" i="9"/>
  <c r="AA86" i="9"/>
  <c r="AH77" i="9"/>
  <c r="AD83" i="9"/>
  <c r="AG86" i="9"/>
  <c r="K81" i="9"/>
  <c r="AA81" i="9"/>
  <c r="I77" i="9"/>
  <c r="E81" i="9"/>
  <c r="L82" i="9"/>
  <c r="I80" i="9"/>
  <c r="K82" i="9"/>
  <c r="G82" i="9"/>
  <c r="N83" i="9"/>
  <c r="E86" i="9"/>
  <c r="J77" i="9"/>
  <c r="F86" i="9"/>
  <c r="L77" i="9"/>
  <c r="M80" i="9"/>
  <c r="L86" i="9"/>
  <c r="F77" i="9"/>
  <c r="N80" i="9"/>
  <c r="M86" i="9"/>
  <c r="E83" i="9"/>
  <c r="E80" i="9"/>
  <c r="H81" i="9"/>
  <c r="F83" i="9"/>
  <c r="I86" i="9"/>
  <c r="L81" i="9"/>
  <c r="J83" i="9"/>
  <c r="M77" i="9"/>
  <c r="F80" i="9"/>
  <c r="I81" i="9"/>
  <c r="G83" i="9"/>
  <c r="J80" i="9"/>
  <c r="M81" i="9"/>
  <c r="K83" i="9"/>
  <c r="N77" i="9"/>
  <c r="G77" i="9"/>
  <c r="H86" i="9"/>
  <c r="G80" i="9"/>
  <c r="E82" i="9"/>
  <c r="H83" i="9"/>
  <c r="K80" i="9"/>
  <c r="N81" i="9"/>
  <c r="L83" i="9"/>
  <c r="J86" i="9"/>
  <c r="G81" i="9"/>
  <c r="N82" i="9"/>
  <c r="H80" i="9"/>
  <c r="F82" i="9"/>
  <c r="I83" i="9"/>
  <c r="J82" i="9"/>
  <c r="M83" i="9"/>
  <c r="K86" i="9"/>
  <c r="H82" i="9"/>
  <c r="D96" i="9"/>
  <c r="R30" i="9"/>
  <c r="Q30" i="9"/>
  <c r="P30" i="9"/>
  <c r="O30" i="9"/>
  <c r="N30" i="9"/>
  <c r="M30" i="9"/>
  <c r="L30" i="9"/>
  <c r="K30" i="9"/>
  <c r="J30" i="9"/>
  <c r="I30" i="9"/>
  <c r="AD84" i="9" l="1"/>
  <c r="AD88" i="9" s="1"/>
  <c r="AD90" i="9" s="1"/>
  <c r="AE84" i="9"/>
  <c r="AE88" i="9" s="1"/>
  <c r="AE90" i="9" s="1"/>
  <c r="AE96" i="9" s="1"/>
  <c r="AE95" i="9" s="1"/>
  <c r="P84" i="9"/>
  <c r="P88" i="9" s="1"/>
  <c r="P90" i="9" s="1"/>
  <c r="P96" i="9" s="1"/>
  <c r="P95" i="9" s="1"/>
  <c r="AA84" i="9"/>
  <c r="AA88" i="9" s="1"/>
  <c r="Z84" i="9"/>
  <c r="Z88" i="9" s="1"/>
  <c r="Z138" i="9" s="1"/>
  <c r="AH84" i="9"/>
  <c r="AH88" i="9" s="1"/>
  <c r="AH90" i="9" s="1"/>
  <c r="AB84" i="9"/>
  <c r="AB88" i="9" s="1"/>
  <c r="W84" i="9"/>
  <c r="W88" i="9" s="1"/>
  <c r="W90" i="9" s="1"/>
  <c r="W96" i="9" s="1"/>
  <c r="W95" i="9" s="1"/>
  <c r="R84" i="9"/>
  <c r="R88" i="9" s="1"/>
  <c r="R90" i="9" s="1"/>
  <c r="R96" i="9" s="1"/>
  <c r="R95" i="9" s="1"/>
  <c r="AG84" i="9"/>
  <c r="AG88" i="9" s="1"/>
  <c r="AG90" i="9" s="1"/>
  <c r="AG96" i="9" s="1"/>
  <c r="AG95" i="9" s="1"/>
  <c r="U84" i="9"/>
  <c r="U88" i="9" s="1"/>
  <c r="U90" i="9" s="1"/>
  <c r="U96" i="9" s="1"/>
  <c r="U95" i="9" s="1"/>
  <c r="O84" i="9"/>
  <c r="O88" i="9" s="1"/>
  <c r="O90" i="9" s="1"/>
  <c r="O96" i="9" s="1"/>
  <c r="O95" i="9" s="1"/>
  <c r="AF84" i="9"/>
  <c r="AF88" i="9" s="1"/>
  <c r="AF90" i="9" s="1"/>
  <c r="AF96" i="9" s="1"/>
  <c r="AF95" i="9" s="1"/>
  <c r="S84" i="9"/>
  <c r="S88" i="9" s="1"/>
  <c r="Y84" i="9"/>
  <c r="Y88" i="9" s="1"/>
  <c r="Y90" i="9" s="1"/>
  <c r="Y96" i="9" s="1"/>
  <c r="Y95" i="9" s="1"/>
  <c r="V84" i="9"/>
  <c r="V88" i="9" s="1"/>
  <c r="V90" i="9" s="1"/>
  <c r="V96" i="9" s="1"/>
  <c r="V95" i="9" s="1"/>
  <c r="X84" i="9"/>
  <c r="X88" i="9" s="1"/>
  <c r="X90" i="9" s="1"/>
  <c r="T84" i="9"/>
  <c r="T88" i="9" s="1"/>
  <c r="T90" i="9" s="1"/>
  <c r="T96" i="9" s="1"/>
  <c r="T95" i="9" s="1"/>
  <c r="Q84" i="9"/>
  <c r="Q88" i="9" s="1"/>
  <c r="Q90" i="9" s="1"/>
  <c r="Q96" i="9" s="1"/>
  <c r="Q95" i="9" s="1"/>
  <c r="AC84" i="9"/>
  <c r="AC88" i="9" s="1"/>
  <c r="N84" i="9"/>
  <c r="N88" i="9" s="1"/>
  <c r="N90" i="9" s="1"/>
  <c r="L84" i="9"/>
  <c r="L88" i="9" s="1"/>
  <c r="L90" i="9" s="1"/>
  <c r="K84" i="9"/>
  <c r="K88" i="9" s="1"/>
  <c r="K90" i="9" s="1"/>
  <c r="F84" i="9"/>
  <c r="F88" i="9" s="1"/>
  <c r="F90" i="9" s="1"/>
  <c r="J84" i="9"/>
  <c r="J88" i="9" s="1"/>
  <c r="J90" i="9" s="1"/>
  <c r="M84" i="9"/>
  <c r="M88" i="9" s="1"/>
  <c r="M90" i="9" s="1"/>
  <c r="H84" i="9"/>
  <c r="H88" i="9" s="1"/>
  <c r="H138" i="9" s="1"/>
  <c r="G84" i="9"/>
  <c r="G88" i="9" s="1"/>
  <c r="G90" i="9" s="1"/>
  <c r="I84" i="9"/>
  <c r="I88" i="9" s="1"/>
  <c r="I90" i="9" s="1"/>
  <c r="E84" i="9"/>
  <c r="E88" i="9" s="1"/>
  <c r="E90" i="9" s="1"/>
  <c r="R34" i="9"/>
  <c r="Q34" i="9"/>
  <c r="P34" i="9"/>
  <c r="O34" i="9"/>
  <c r="N34" i="9"/>
  <c r="K34" i="9"/>
  <c r="L34" i="9"/>
  <c r="M34" i="9"/>
  <c r="I34" i="9"/>
  <c r="J34" i="9"/>
  <c r="D37" i="9"/>
  <c r="D36" i="9"/>
  <c r="H30" i="9"/>
  <c r="H34" i="9" s="1"/>
  <c r="G30" i="9"/>
  <c r="G34" i="9" s="1"/>
  <c r="F30" i="9"/>
  <c r="F34" i="9" s="1"/>
  <c r="E30" i="9"/>
  <c r="E34" i="9" s="1"/>
  <c r="AD96" i="9" l="1"/>
  <c r="AD95" i="9" s="1"/>
  <c r="U153" i="9"/>
  <c r="Q153" i="9"/>
  <c r="R153" i="9"/>
  <c r="Z153" i="9"/>
  <c r="Y153" i="9"/>
  <c r="X153" i="9"/>
  <c r="AG153" i="9"/>
  <c r="V153" i="9"/>
  <c r="F153" i="9"/>
  <c r="J153" i="9"/>
  <c r="AA116" i="9"/>
  <c r="AA153" i="9"/>
  <c r="E153" i="9"/>
  <c r="G153" i="9"/>
  <c r="N153" i="9"/>
  <c r="P153" i="9"/>
  <c r="T153" i="9"/>
  <c r="AB138" i="9"/>
  <c r="AB153" i="9"/>
  <c r="I153" i="9"/>
  <c r="AD153" i="9"/>
  <c r="AE153" i="9"/>
  <c r="M153" i="9"/>
  <c r="S90" i="9"/>
  <c r="O36" i="9" s="1"/>
  <c r="S153" i="9"/>
  <c r="K153" i="9"/>
  <c r="AH153" i="9"/>
  <c r="AI153" i="9" s="1"/>
  <c r="AF153" i="9"/>
  <c r="H153" i="9"/>
  <c r="AC127" i="9"/>
  <c r="AC153" i="9"/>
  <c r="O153" i="9"/>
  <c r="W153" i="9"/>
  <c r="E127" i="9"/>
  <c r="L153" i="9"/>
  <c r="AA138" i="9"/>
  <c r="AE138" i="9"/>
  <c r="O138" i="9"/>
  <c r="Y138" i="9"/>
  <c r="AF138" i="9"/>
  <c r="AH138" i="9"/>
  <c r="AI138" i="9" s="1"/>
  <c r="O127" i="9"/>
  <c r="I138" i="9"/>
  <c r="W138" i="9"/>
  <c r="AC138" i="9"/>
  <c r="K138" i="9"/>
  <c r="Q138" i="9"/>
  <c r="E138" i="9"/>
  <c r="AD138" i="9"/>
  <c r="X138" i="9"/>
  <c r="U138" i="9"/>
  <c r="R138" i="9"/>
  <c r="AG138" i="9"/>
  <c r="J138" i="9"/>
  <c r="V138" i="9"/>
  <c r="S138" i="9"/>
  <c r="T138" i="9"/>
  <c r="N138" i="9"/>
  <c r="G138" i="9"/>
  <c r="F138" i="9"/>
  <c r="M138" i="9"/>
  <c r="P138" i="9"/>
  <c r="L138" i="9"/>
  <c r="R116" i="9"/>
  <c r="AG116" i="9"/>
  <c r="P116" i="9"/>
  <c r="AE127" i="9"/>
  <c r="S127" i="9"/>
  <c r="S116" i="9"/>
  <c r="X116" i="9"/>
  <c r="AG127" i="9"/>
  <c r="AD116" i="9"/>
  <c r="Z90" i="9"/>
  <c r="Z96" i="9" s="1"/>
  <c r="Z95" i="9" s="1"/>
  <c r="Z116" i="9"/>
  <c r="U116" i="9"/>
  <c r="E116" i="9"/>
  <c r="AE116" i="9"/>
  <c r="M127" i="9"/>
  <c r="I127" i="9"/>
  <c r="U127" i="9"/>
  <c r="AB90" i="9"/>
  <c r="AB96" i="9" s="1"/>
  <c r="AB95" i="9" s="1"/>
  <c r="AB127" i="9"/>
  <c r="AC90" i="9"/>
  <c r="Q36" i="9" s="1"/>
  <c r="AC116" i="9"/>
  <c r="AA90" i="9"/>
  <c r="AA96" i="9" s="1"/>
  <c r="AA95" i="9" s="1"/>
  <c r="AA127" i="9"/>
  <c r="T116" i="9"/>
  <c r="AH127" i="9"/>
  <c r="AI127" i="9" s="1"/>
  <c r="W116" i="9"/>
  <c r="V116" i="9"/>
  <c r="J127" i="9"/>
  <c r="L127" i="9"/>
  <c r="H90" i="9"/>
  <c r="H96" i="9" s="1"/>
  <c r="H127" i="9"/>
  <c r="Y127" i="9"/>
  <c r="Q116" i="9"/>
  <c r="Q127" i="9"/>
  <c r="N127" i="9"/>
  <c r="AH116" i="9"/>
  <c r="AI116" i="9" s="1"/>
  <c r="K127" i="9"/>
  <c r="AF116" i="9"/>
  <c r="P127" i="9"/>
  <c r="X127" i="9"/>
  <c r="Z127" i="9"/>
  <c r="Y116" i="9"/>
  <c r="T127" i="9"/>
  <c r="W127" i="9"/>
  <c r="R127" i="9"/>
  <c r="AB116" i="9"/>
  <c r="AF127" i="9"/>
  <c r="AD127" i="9"/>
  <c r="V127" i="9"/>
  <c r="F127" i="9"/>
  <c r="G127" i="9"/>
  <c r="O116" i="9"/>
  <c r="J116" i="9"/>
  <c r="H116" i="9"/>
  <c r="N116" i="9"/>
  <c r="G116" i="9"/>
  <c r="I116" i="9"/>
  <c r="K116" i="9"/>
  <c r="F116" i="9"/>
  <c r="M116" i="9"/>
  <c r="L116" i="9"/>
  <c r="E36" i="9"/>
  <c r="E96" i="9"/>
  <c r="J96" i="9"/>
  <c r="J95" i="9" s="1"/>
  <c r="J36" i="9"/>
  <c r="K96" i="9"/>
  <c r="K95" i="9" s="1"/>
  <c r="K36" i="9"/>
  <c r="I96" i="9"/>
  <c r="I95" i="9" s="1"/>
  <c r="I36" i="9"/>
  <c r="N96" i="9"/>
  <c r="N95" i="9" s="1"/>
  <c r="N36" i="9"/>
  <c r="F96" i="9"/>
  <c r="F95" i="9" s="1"/>
  <c r="F36" i="9"/>
  <c r="L96" i="9"/>
  <c r="L95" i="9" s="1"/>
  <c r="L36" i="9"/>
  <c r="G96" i="9"/>
  <c r="G95" i="9" s="1"/>
  <c r="G36" i="9"/>
  <c r="M96" i="9"/>
  <c r="M95" i="9" s="1"/>
  <c r="M36" i="9"/>
  <c r="E91" i="9"/>
  <c r="AH96" i="9"/>
  <c r="R36" i="9"/>
  <c r="X96" i="9"/>
  <c r="X95" i="9" s="1"/>
  <c r="P36" i="9"/>
  <c r="D160" i="9" l="1" a="1"/>
  <c r="D160" i="9" s="1"/>
  <c r="G11" i="6" s="1"/>
  <c r="D159" i="9" a="1"/>
  <c r="D159" i="9" s="1"/>
  <c r="G10" i="6" s="1"/>
  <c r="D122" i="9" a="1"/>
  <c r="D122" i="9" s="1"/>
  <c r="D10" i="6" s="1"/>
  <c r="D123" i="9" a="1"/>
  <c r="D123" i="9" s="1"/>
  <c r="D11" i="6" s="1"/>
  <c r="D145" i="9" a="1"/>
  <c r="D145" i="9" s="1"/>
  <c r="F11" i="6" s="1"/>
  <c r="D144" i="9" a="1"/>
  <c r="D144" i="9" s="1"/>
  <c r="F10" i="6" s="1"/>
  <c r="D133" i="9" a="1"/>
  <c r="D133" i="9" s="1"/>
  <c r="E10" i="6" s="1"/>
  <c r="D134" i="9" a="1"/>
  <c r="D134" i="9" s="1"/>
  <c r="E11" i="6" s="1"/>
  <c r="S96" i="9"/>
  <c r="S95" i="9" s="1"/>
  <c r="AC154" i="9"/>
  <c r="AC46" i="6" s="1"/>
  <c r="T154" i="9"/>
  <c r="T46" i="6" s="1"/>
  <c r="S154" i="9"/>
  <c r="S46" i="6" s="1"/>
  <c r="V154" i="9"/>
  <c r="V46" i="6" s="1"/>
  <c r="R154" i="9"/>
  <c r="R46" i="6" s="1"/>
  <c r="Q154" i="9"/>
  <c r="Q46" i="6" s="1"/>
  <c r="W154" i="9"/>
  <c r="W46" i="6" s="1"/>
  <c r="G154" i="9"/>
  <c r="G46" i="6" s="1"/>
  <c r="M154" i="9"/>
  <c r="M46" i="6" s="1"/>
  <c r="E154" i="9"/>
  <c r="L154" i="9"/>
  <c r="L46" i="6" s="1"/>
  <c r="K154" i="9"/>
  <c r="K46" i="6" s="1"/>
  <c r="AG154" i="9"/>
  <c r="AG46" i="6" s="1"/>
  <c r="I154" i="9"/>
  <c r="I46" i="6" s="1"/>
  <c r="H154" i="9"/>
  <c r="H46" i="6" s="1"/>
  <c r="O154" i="9"/>
  <c r="O46" i="6" s="1"/>
  <c r="AD154" i="9"/>
  <c r="AD46" i="6" s="1"/>
  <c r="AF154" i="9"/>
  <c r="AF46" i="6" s="1"/>
  <c r="X154" i="9"/>
  <c r="X46" i="6" s="1"/>
  <c r="AH154" i="9"/>
  <c r="AH46" i="6" s="1"/>
  <c r="P154" i="9"/>
  <c r="P46" i="6" s="1"/>
  <c r="J154" i="9"/>
  <c r="F154" i="9"/>
  <c r="F46" i="6" s="1"/>
  <c r="AB154" i="9"/>
  <c r="AB46" i="6" s="1"/>
  <c r="AA154" i="9"/>
  <c r="AA46" i="6" s="1"/>
  <c r="Y154" i="9"/>
  <c r="Y46" i="6" s="1"/>
  <c r="AE154" i="9"/>
  <c r="AE46" i="6" s="1"/>
  <c r="Z154" i="9"/>
  <c r="Z46" i="6" s="1"/>
  <c r="N154" i="9"/>
  <c r="N46" i="6" s="1"/>
  <c r="U154" i="9"/>
  <c r="U46" i="6" s="1"/>
  <c r="AI154" i="9"/>
  <c r="AI139" i="9"/>
  <c r="E139" i="9"/>
  <c r="AI117" i="9"/>
  <c r="E128" i="9"/>
  <c r="AI128" i="9"/>
  <c r="AH95" i="9"/>
  <c r="AI95" i="9" s="1"/>
  <c r="AI96" i="9"/>
  <c r="I139" i="9"/>
  <c r="I45" i="6" s="1"/>
  <c r="H139" i="9"/>
  <c r="H45" i="6" s="1"/>
  <c r="R139" i="9"/>
  <c r="R45" i="6" s="1"/>
  <c r="AB139" i="9"/>
  <c r="AB45" i="6" s="1"/>
  <c r="V139" i="9"/>
  <c r="V45" i="6" s="1"/>
  <c r="AH139" i="9"/>
  <c r="AH45" i="6" s="1"/>
  <c r="AC139" i="9"/>
  <c r="AC45" i="6" s="1"/>
  <c r="O139" i="9"/>
  <c r="O45" i="6" s="1"/>
  <c r="AE139" i="9"/>
  <c r="AE45" i="6" s="1"/>
  <c r="T139" i="9"/>
  <c r="T45" i="6" s="1"/>
  <c r="N139" i="9"/>
  <c r="N45" i="6" s="1"/>
  <c r="P139" i="9"/>
  <c r="P45" i="6" s="1"/>
  <c r="Z139" i="9"/>
  <c r="Z45" i="6" s="1"/>
  <c r="M139" i="9"/>
  <c r="M45" i="6" s="1"/>
  <c r="X139" i="9"/>
  <c r="X45" i="6" s="1"/>
  <c r="U139" i="9"/>
  <c r="U45" i="6" s="1"/>
  <c r="Y139" i="9"/>
  <c r="Y45" i="6" s="1"/>
  <c r="W139" i="9"/>
  <c r="W45" i="6" s="1"/>
  <c r="L139" i="9"/>
  <c r="L45" i="6" s="1"/>
  <c r="J139" i="9"/>
  <c r="J45" i="6" s="1"/>
  <c r="AD139" i="9"/>
  <c r="AD45" i="6" s="1"/>
  <c r="AF139" i="9"/>
  <c r="AF45" i="6" s="1"/>
  <c r="K139" i="9"/>
  <c r="K45" i="6" s="1"/>
  <c r="G139" i="9"/>
  <c r="G45" i="6" s="1"/>
  <c r="Q139" i="9"/>
  <c r="Q45" i="6" s="1"/>
  <c r="S139" i="9"/>
  <c r="S45" i="6" s="1"/>
  <c r="AA139" i="9"/>
  <c r="AA45" i="6" s="1"/>
  <c r="AG139" i="9"/>
  <c r="AG45" i="6" s="1"/>
  <c r="F139" i="9"/>
  <c r="F45" i="6" s="1"/>
  <c r="F128" i="9"/>
  <c r="F44" i="6" s="1"/>
  <c r="H36" i="9"/>
  <c r="AC96" i="9"/>
  <c r="AC95" i="9" s="1"/>
  <c r="I128" i="9"/>
  <c r="I44" i="6" s="1"/>
  <c r="AF128" i="9"/>
  <c r="AF44" i="6" s="1"/>
  <c r="R128" i="9"/>
  <c r="R44" i="6" s="1"/>
  <c r="AD128" i="9"/>
  <c r="AD44" i="6" s="1"/>
  <c r="K128" i="9"/>
  <c r="K44" i="6" s="1"/>
  <c r="U128" i="9"/>
  <c r="U44" i="6" s="1"/>
  <c r="AG128" i="9"/>
  <c r="AG44" i="6" s="1"/>
  <c r="P128" i="9"/>
  <c r="P44" i="6" s="1"/>
  <c r="T117" i="9"/>
  <c r="T43" i="6" s="1"/>
  <c r="AH117" i="9"/>
  <c r="AH43" i="6" s="1"/>
  <c r="X117" i="9"/>
  <c r="X43" i="6" s="1"/>
  <c r="P117" i="9"/>
  <c r="P43" i="6" s="1"/>
  <c r="AA117" i="9"/>
  <c r="AA43" i="6" s="1"/>
  <c r="AB117" i="9"/>
  <c r="AB43" i="6" s="1"/>
  <c r="Y117" i="9"/>
  <c r="Y43" i="6" s="1"/>
  <c r="W117" i="9"/>
  <c r="W43" i="6" s="1"/>
  <c r="AD117" i="9"/>
  <c r="AD43" i="6" s="1"/>
  <c r="R117" i="9"/>
  <c r="R43" i="6" s="1"/>
  <c r="AG117" i="9"/>
  <c r="AG43" i="6" s="1"/>
  <c r="AE117" i="9"/>
  <c r="AE43" i="6" s="1"/>
  <c r="E117" i="9"/>
  <c r="Q117" i="9"/>
  <c r="Q43" i="6" s="1"/>
  <c r="AF117" i="9"/>
  <c r="AF43" i="6" s="1"/>
  <c r="AC117" i="9"/>
  <c r="AC43" i="6" s="1"/>
  <c r="O117" i="9"/>
  <c r="O43" i="6" s="1"/>
  <c r="V117" i="9"/>
  <c r="V43" i="6" s="1"/>
  <c r="S117" i="9"/>
  <c r="S43" i="6" s="1"/>
  <c r="Z117" i="9"/>
  <c r="Z43" i="6" s="1"/>
  <c r="U117" i="9"/>
  <c r="U43" i="6" s="1"/>
  <c r="W128" i="9"/>
  <c r="W44" i="6" s="1"/>
  <c r="L128" i="9"/>
  <c r="L44" i="6" s="1"/>
  <c r="G128" i="9"/>
  <c r="G44" i="6" s="1"/>
  <c r="X128" i="9"/>
  <c r="X44" i="6" s="1"/>
  <c r="AE128" i="9"/>
  <c r="AE44" i="6" s="1"/>
  <c r="AC128" i="9"/>
  <c r="AC44" i="6" s="1"/>
  <c r="V128" i="9"/>
  <c r="V44" i="6" s="1"/>
  <c r="Q128" i="9"/>
  <c r="Q44" i="6" s="1"/>
  <c r="Y128" i="9"/>
  <c r="Y44" i="6" s="1"/>
  <c r="S128" i="9"/>
  <c r="S44" i="6" s="1"/>
  <c r="AA128" i="9"/>
  <c r="AA44" i="6" s="1"/>
  <c r="O128" i="9"/>
  <c r="O44" i="6" s="1"/>
  <c r="M128" i="9"/>
  <c r="M44" i="6" s="1"/>
  <c r="T128" i="9"/>
  <c r="T44" i="6" s="1"/>
  <c r="AB128" i="9"/>
  <c r="AB44" i="6" s="1"/>
  <c r="J128" i="9"/>
  <c r="J44" i="6" s="1"/>
  <c r="N128" i="9"/>
  <c r="N44" i="6" s="1"/>
  <c r="H128" i="9"/>
  <c r="H44" i="6" s="1"/>
  <c r="AH128" i="9"/>
  <c r="AH44" i="6" s="1"/>
  <c r="Z128" i="9"/>
  <c r="Z44" i="6" s="1"/>
  <c r="I117" i="9"/>
  <c r="I43" i="6" s="1"/>
  <c r="F117" i="9"/>
  <c r="F43" i="6" s="1"/>
  <c r="M117" i="9"/>
  <c r="M43" i="6" s="1"/>
  <c r="N117" i="9"/>
  <c r="N43" i="6" s="1"/>
  <c r="H117" i="9"/>
  <c r="H43" i="6" s="1"/>
  <c r="G117" i="9"/>
  <c r="G43" i="6" s="1"/>
  <c r="L117" i="9"/>
  <c r="L43" i="6" s="1"/>
  <c r="K117" i="9"/>
  <c r="K43" i="6" s="1"/>
  <c r="J117" i="9"/>
  <c r="J43" i="6" s="1"/>
  <c r="H95" i="9"/>
  <c r="E98" i="9"/>
  <c r="H98" i="9"/>
  <c r="H42" i="6" s="1"/>
  <c r="E97" i="9"/>
  <c r="F97" i="9" s="1"/>
  <c r="G97" i="9" s="1"/>
  <c r="H97" i="9" s="1"/>
  <c r="F98" i="9"/>
  <c r="F42" i="6" s="1"/>
  <c r="F91" i="9"/>
  <c r="E37" i="9"/>
  <c r="P98" i="9"/>
  <c r="P42" i="6" s="1"/>
  <c r="O98" i="9"/>
  <c r="O42" i="6" s="1"/>
  <c r="Q98" i="9"/>
  <c r="Q42" i="6" s="1"/>
  <c r="I98" i="9"/>
  <c r="I42" i="6" s="1"/>
  <c r="R98" i="9"/>
  <c r="R42" i="6" s="1"/>
  <c r="K98" i="9"/>
  <c r="K42" i="6" s="1"/>
  <c r="E95" i="9"/>
  <c r="N98" i="9"/>
  <c r="N42" i="6" s="1"/>
  <c r="L98" i="9"/>
  <c r="L42" i="6" s="1"/>
  <c r="M98" i="9"/>
  <c r="M42" i="6" s="1"/>
  <c r="G98" i="9"/>
  <c r="G42" i="6" s="1"/>
  <c r="J98" i="9"/>
  <c r="J42" i="6" s="1"/>
  <c r="E106" i="9" l="1"/>
  <c r="E42" i="6"/>
  <c r="E119" i="9"/>
  <c r="E43" i="6"/>
  <c r="E130" i="9"/>
  <c r="E44" i="6"/>
  <c r="E141" i="9"/>
  <c r="E45" i="6"/>
  <c r="J156" i="9"/>
  <c r="I157" i="9" s="1"/>
  <c r="J46" i="6"/>
  <c r="E156" i="9"/>
  <c r="E46" i="6"/>
  <c r="AD156" i="9"/>
  <c r="AC157" i="9" s="1"/>
  <c r="Y156" i="9"/>
  <c r="X157" i="9" s="1"/>
  <c r="D41" i="9" a="1"/>
  <c r="D41" i="9" s="1"/>
  <c r="C11" i="6" s="1"/>
  <c r="D40" i="9" a="1"/>
  <c r="D40" i="9" s="1"/>
  <c r="C10" i="6" s="1"/>
  <c r="T98" i="9"/>
  <c r="T42" i="6" s="1"/>
  <c r="U98" i="9"/>
  <c r="U42" i="6" s="1"/>
  <c r="Y98" i="9"/>
  <c r="Y42" i="6" s="1"/>
  <c r="W98" i="9"/>
  <c r="W42" i="6" s="1"/>
  <c r="V98" i="9"/>
  <c r="V42" i="6" s="1"/>
  <c r="AB98" i="9"/>
  <c r="AB42" i="6" s="1"/>
  <c r="S98" i="9"/>
  <c r="S42" i="6" s="1"/>
  <c r="AA98" i="9"/>
  <c r="AA42" i="6" s="1"/>
  <c r="F156" i="9"/>
  <c r="E157" i="9" s="1"/>
  <c r="Z98" i="9"/>
  <c r="Z42" i="6" s="1"/>
  <c r="U156" i="9"/>
  <c r="T157" i="9" s="1"/>
  <c r="X98" i="9"/>
  <c r="X42" i="6" s="1"/>
  <c r="Z156" i="9"/>
  <c r="Y157" i="9" s="1"/>
  <c r="AH156" i="9"/>
  <c r="AG157" i="9" s="1"/>
  <c r="M156" i="9"/>
  <c r="L157" i="9" s="1"/>
  <c r="O156" i="9"/>
  <c r="N157" i="9" s="1"/>
  <c r="G156" i="9"/>
  <c r="F157" i="9" s="1"/>
  <c r="I156" i="9"/>
  <c r="H157" i="9" s="1"/>
  <c r="Q156" i="9"/>
  <c r="P157" i="9" s="1"/>
  <c r="X156" i="9"/>
  <c r="W157" i="9" s="1"/>
  <c r="AA156" i="9"/>
  <c r="Z157" i="9" s="1"/>
  <c r="S141" i="9"/>
  <c r="R142" i="9" s="1"/>
  <c r="AC156" i="9"/>
  <c r="AB157" i="9" s="1"/>
  <c r="AB156" i="9"/>
  <c r="AA157" i="9" s="1"/>
  <c r="AD98" i="9"/>
  <c r="AD42" i="6" s="1"/>
  <c r="AI156" i="9"/>
  <c r="AH157" i="9" s="1"/>
  <c r="H156" i="9"/>
  <c r="G157" i="9" s="1"/>
  <c r="W156" i="9"/>
  <c r="V157" i="9" s="1"/>
  <c r="AF98" i="9"/>
  <c r="AF42" i="6" s="1"/>
  <c r="N156" i="9"/>
  <c r="M157" i="9" s="1"/>
  <c r="P156" i="9"/>
  <c r="O157" i="9" s="1"/>
  <c r="AG156" i="9"/>
  <c r="AF157" i="9" s="1"/>
  <c r="R156" i="9"/>
  <c r="Q157" i="9" s="1"/>
  <c r="K156" i="9"/>
  <c r="J157" i="9" s="1"/>
  <c r="V156" i="9"/>
  <c r="U157" i="9" s="1"/>
  <c r="AG98" i="9"/>
  <c r="AG42" i="6" s="1"/>
  <c r="AH98" i="9"/>
  <c r="AH42" i="6" s="1"/>
  <c r="AE156" i="9"/>
  <c r="AD157" i="9" s="1"/>
  <c r="L156" i="9"/>
  <c r="K157" i="9" s="1"/>
  <c r="S156" i="9"/>
  <c r="R157" i="9" s="1"/>
  <c r="AE98" i="9"/>
  <c r="AE42" i="6" s="1"/>
  <c r="AC98" i="9"/>
  <c r="AC42" i="6" s="1"/>
  <c r="AF156" i="9"/>
  <c r="AE157" i="9" s="1"/>
  <c r="T156" i="9"/>
  <c r="S157" i="9" s="1"/>
  <c r="F130" i="9"/>
  <c r="E131" i="9" s="1"/>
  <c r="AI141" i="9"/>
  <c r="AH142" i="9" s="1"/>
  <c r="AI130" i="9"/>
  <c r="AH131" i="9" s="1"/>
  <c r="AI119" i="9"/>
  <c r="AH120" i="9" s="1"/>
  <c r="AI98" i="9"/>
  <c r="Q141" i="9"/>
  <c r="P142" i="9" s="1"/>
  <c r="F141" i="9"/>
  <c r="E142" i="9" s="1"/>
  <c r="AG141" i="9"/>
  <c r="AF142" i="9" s="1"/>
  <c r="J141" i="9"/>
  <c r="I142" i="9" s="1"/>
  <c r="AD141" i="9"/>
  <c r="AC142" i="9" s="1"/>
  <c r="V141" i="9"/>
  <c r="U142" i="9" s="1"/>
  <c r="AA141" i="9"/>
  <c r="Z142" i="9" s="1"/>
  <c r="N141" i="9"/>
  <c r="M142" i="9" s="1"/>
  <c r="AE141" i="9"/>
  <c r="AD142" i="9" s="1"/>
  <c r="H141" i="9"/>
  <c r="G142" i="9" s="1"/>
  <c r="U141" i="9"/>
  <c r="T142" i="9" s="1"/>
  <c r="K141" i="9"/>
  <c r="J142" i="9" s="1"/>
  <c r="X141" i="9"/>
  <c r="W142" i="9" s="1"/>
  <c r="O141" i="9"/>
  <c r="N142" i="9" s="1"/>
  <c r="AF141" i="9"/>
  <c r="AE142" i="9" s="1"/>
  <c r="M141" i="9"/>
  <c r="L142" i="9" s="1"/>
  <c r="AC141" i="9"/>
  <c r="AB142" i="9" s="1"/>
  <c r="J130" i="9"/>
  <c r="I131" i="9" s="1"/>
  <c r="Z141" i="9"/>
  <c r="Y142" i="9" s="1"/>
  <c r="AH141" i="9"/>
  <c r="AG142" i="9" s="1"/>
  <c r="P141" i="9"/>
  <c r="O142" i="9" s="1"/>
  <c r="L141" i="9"/>
  <c r="K142" i="9" s="1"/>
  <c r="AB141" i="9"/>
  <c r="AA142" i="9" s="1"/>
  <c r="AE130" i="9"/>
  <c r="AD131" i="9" s="1"/>
  <c r="W141" i="9"/>
  <c r="V142" i="9" s="1"/>
  <c r="T141" i="9"/>
  <c r="S142" i="9" s="1"/>
  <c r="R141" i="9"/>
  <c r="Q142" i="9" s="1"/>
  <c r="Y141" i="9"/>
  <c r="X142" i="9" s="1"/>
  <c r="AH130" i="9"/>
  <c r="AG131" i="9" s="1"/>
  <c r="G141" i="9"/>
  <c r="F142" i="9" s="1"/>
  <c r="I141" i="9"/>
  <c r="H142" i="9" s="1"/>
  <c r="AG130" i="9"/>
  <c r="AF131" i="9" s="1"/>
  <c r="V130" i="9"/>
  <c r="U131" i="9" s="1"/>
  <c r="O130" i="9"/>
  <c r="N131" i="9" s="1"/>
  <c r="AA130" i="9"/>
  <c r="Z131" i="9" s="1"/>
  <c r="G130" i="9"/>
  <c r="F131" i="9" s="1"/>
  <c r="P130" i="9"/>
  <c r="O131" i="9" s="1"/>
  <c r="Z130" i="9"/>
  <c r="Y131" i="9" s="1"/>
  <c r="X130" i="9"/>
  <c r="W131" i="9" s="1"/>
  <c r="S130" i="9"/>
  <c r="R131" i="9" s="1"/>
  <c r="L130" i="9"/>
  <c r="K131" i="9" s="1"/>
  <c r="Q130" i="9"/>
  <c r="P131" i="9" s="1"/>
  <c r="AB130" i="9"/>
  <c r="AA131" i="9" s="1"/>
  <c r="AD130" i="9"/>
  <c r="AC131" i="9" s="1"/>
  <c r="K130" i="9"/>
  <c r="J131" i="9" s="1"/>
  <c r="T130" i="9"/>
  <c r="S131" i="9" s="1"/>
  <c r="AC130" i="9"/>
  <c r="AB131" i="9" s="1"/>
  <c r="R130" i="9"/>
  <c r="Q131" i="9" s="1"/>
  <c r="H130" i="9"/>
  <c r="G131" i="9" s="1"/>
  <c r="M130" i="9"/>
  <c r="L131" i="9" s="1"/>
  <c r="AF130" i="9"/>
  <c r="AE131" i="9" s="1"/>
  <c r="I130" i="9"/>
  <c r="H131" i="9" s="1"/>
  <c r="N130" i="9"/>
  <c r="M131" i="9" s="1"/>
  <c r="Y130" i="9"/>
  <c r="X131" i="9" s="1"/>
  <c r="W130" i="9"/>
  <c r="V131" i="9" s="1"/>
  <c r="U130" i="9"/>
  <c r="T131" i="9" s="1"/>
  <c r="AB119" i="9"/>
  <c r="AA120" i="9" s="1"/>
  <c r="AD119" i="9"/>
  <c r="AC120" i="9" s="1"/>
  <c r="Y119" i="9"/>
  <c r="X120" i="9" s="1"/>
  <c r="V119" i="9"/>
  <c r="U120" i="9" s="1"/>
  <c r="T119" i="9"/>
  <c r="S120" i="9" s="1"/>
  <c r="AC119" i="9"/>
  <c r="AB120" i="9" s="1"/>
  <c r="Z119" i="9"/>
  <c r="Y120" i="9" s="1"/>
  <c r="R119" i="9"/>
  <c r="Q120" i="9" s="1"/>
  <c r="AH119" i="9"/>
  <c r="AG120" i="9" s="1"/>
  <c r="W119" i="9"/>
  <c r="V120" i="9" s="1"/>
  <c r="AF119" i="9"/>
  <c r="AE120" i="9" s="1"/>
  <c r="Q119" i="9"/>
  <c r="P120" i="9" s="1"/>
  <c r="U119" i="9"/>
  <c r="T120" i="9" s="1"/>
  <c r="AA119" i="9"/>
  <c r="Z120" i="9" s="1"/>
  <c r="AE119" i="9"/>
  <c r="AD120" i="9" s="1"/>
  <c r="P119" i="9"/>
  <c r="O120" i="9" s="1"/>
  <c r="S119" i="9"/>
  <c r="R120" i="9" s="1"/>
  <c r="AG119" i="9"/>
  <c r="AF120" i="9" s="1"/>
  <c r="X119" i="9"/>
  <c r="W120" i="9" s="1"/>
  <c r="J119" i="9"/>
  <c r="I120" i="9" s="1"/>
  <c r="F119" i="9"/>
  <c r="E120" i="9" s="1"/>
  <c r="H119" i="9"/>
  <c r="G120" i="9" s="1"/>
  <c r="K119" i="9"/>
  <c r="J120" i="9" s="1"/>
  <c r="L119" i="9"/>
  <c r="K120" i="9" s="1"/>
  <c r="G119" i="9"/>
  <c r="F120" i="9" s="1"/>
  <c r="N119" i="9"/>
  <c r="M120" i="9" s="1"/>
  <c r="O119" i="9"/>
  <c r="N120" i="9" s="1"/>
  <c r="M119" i="9"/>
  <c r="L120" i="9" s="1"/>
  <c r="I119" i="9"/>
  <c r="H120" i="9" s="1"/>
  <c r="F106" i="9"/>
  <c r="E107" i="9" s="1"/>
  <c r="R106" i="9"/>
  <c r="Q107" i="9" s="1"/>
  <c r="Q106" i="9"/>
  <c r="P107" i="9" s="1"/>
  <c r="G91" i="9"/>
  <c r="F37" i="9"/>
  <c r="K106" i="9"/>
  <c r="J107" i="9" s="1"/>
  <c r="M106" i="9"/>
  <c r="L107" i="9" s="1"/>
  <c r="I106" i="9"/>
  <c r="H107" i="9" s="1"/>
  <c r="P106" i="9"/>
  <c r="O107" i="9" s="1"/>
  <c r="J106" i="9"/>
  <c r="I107" i="9" s="1"/>
  <c r="N106" i="9"/>
  <c r="M107" i="9" s="1"/>
  <c r="G106" i="9"/>
  <c r="F107" i="9" s="1"/>
  <c r="H106" i="9"/>
  <c r="G107" i="9" s="1"/>
  <c r="O106" i="9"/>
  <c r="N107" i="9" s="1"/>
  <c r="L106" i="9"/>
  <c r="K107" i="9" s="1"/>
  <c r="D161" i="9" l="1"/>
  <c r="G12" i="6" s="1"/>
  <c r="W106" i="9"/>
  <c r="V107" i="9" s="1"/>
  <c r="X106" i="9"/>
  <c r="W107" i="9" s="1"/>
  <c r="U106" i="9"/>
  <c r="T107" i="9" s="1"/>
  <c r="D124" i="9"/>
  <c r="D12" i="6" s="1"/>
  <c r="D135" i="9"/>
  <c r="E12" i="6" s="1"/>
  <c r="D146" i="9"/>
  <c r="F12" i="6" s="1"/>
  <c r="Y106" i="9"/>
  <c r="X107" i="9" s="1"/>
  <c r="AA106" i="9"/>
  <c r="Z107" i="9" s="1"/>
  <c r="T106" i="9"/>
  <c r="S107" i="9" s="1"/>
  <c r="Z106" i="9"/>
  <c r="Y107" i="9" s="1"/>
  <c r="V106" i="9"/>
  <c r="U107" i="9" s="1"/>
  <c r="S106" i="9"/>
  <c r="R107" i="9" s="1"/>
  <c r="AG106" i="9"/>
  <c r="AF107" i="9" s="1"/>
  <c r="AB106" i="9"/>
  <c r="AA107" i="9" s="1"/>
  <c r="AI106" i="9"/>
  <c r="AF106" i="9"/>
  <c r="AE107" i="9" s="1"/>
  <c r="AD106" i="9"/>
  <c r="AC107" i="9" s="1"/>
  <c r="AH106" i="9"/>
  <c r="AG107" i="9" s="1"/>
  <c r="AC106" i="9"/>
  <c r="AB107" i="9" s="1"/>
  <c r="AE106" i="9"/>
  <c r="AD107" i="9" s="1"/>
  <c r="H91" i="9"/>
  <c r="G37" i="9"/>
  <c r="I97" i="9"/>
  <c r="D42" i="9" l="1"/>
  <c r="C12" i="6" s="1"/>
  <c r="I91" i="9"/>
  <c r="H37" i="9"/>
  <c r="J97" i="9"/>
  <c r="J91" i="9" l="1"/>
  <c r="I37" i="9"/>
  <c r="K97" i="9"/>
  <c r="K91" i="9" l="1"/>
  <c r="J37" i="9"/>
  <c r="L97" i="9"/>
  <c r="L91" i="9" l="1"/>
  <c r="K37" i="9"/>
  <c r="M97" i="9"/>
  <c r="M91" i="9" l="1"/>
  <c r="L37" i="9"/>
  <c r="N97" i="9"/>
  <c r="N91" i="9" l="1"/>
  <c r="M37" i="9"/>
  <c r="O97" i="9"/>
  <c r="P97" i="9" s="1"/>
  <c r="Q97" i="9" s="1"/>
  <c r="R97" i="9" s="1"/>
  <c r="S97" i="9" s="1"/>
  <c r="T97" i="9" s="1"/>
  <c r="U97" i="9" s="1"/>
  <c r="V97" i="9" s="1"/>
  <c r="W97" i="9" s="1"/>
  <c r="X97" i="9" s="1"/>
  <c r="Y97" i="9" s="1"/>
  <c r="Z97" i="9" s="1"/>
  <c r="AA97" i="9" s="1"/>
  <c r="AB97" i="9" s="1"/>
  <c r="AC97" i="9" s="1"/>
  <c r="AD97" i="9" s="1"/>
  <c r="AE97" i="9" s="1"/>
  <c r="AF97" i="9" s="1"/>
  <c r="AG97" i="9" s="1"/>
  <c r="AH97" i="9" s="1"/>
  <c r="O91" i="9" l="1"/>
  <c r="P91" i="9" s="1"/>
  <c r="Q91" i="9" s="1"/>
  <c r="R91" i="9" s="1"/>
  <c r="S91" i="9" s="1"/>
  <c r="N37" i="9"/>
  <c r="T91" i="9" l="1"/>
  <c r="U91" i="9" s="1"/>
  <c r="V91" i="9" s="1"/>
  <c r="W91" i="9" s="1"/>
  <c r="X91" i="9" s="1"/>
  <c r="O37" i="9"/>
  <c r="Y91" i="9" l="1"/>
  <c r="Z91" i="9" s="1"/>
  <c r="AA91" i="9" s="1"/>
  <c r="AB91" i="9" s="1"/>
  <c r="AC91" i="9" s="1"/>
  <c r="P37" i="9"/>
  <c r="AD91" i="9" l="1"/>
  <c r="AE91" i="9" s="1"/>
  <c r="AF91" i="9" s="1"/>
  <c r="AG91" i="9" s="1"/>
  <c r="AH91" i="9" s="1"/>
  <c r="R37" i="9" s="1"/>
  <c r="Q37" i="9"/>
  <c r="C8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<sst xmlns="http://schemas.openxmlformats.org/spreadsheetml/2006/main" count="246" uniqueCount="152">
  <si>
    <t>Underlag</t>
  </si>
  <si>
    <t> </t>
  </si>
  <si>
    <t>Beräkning av kostnader</t>
  </si>
  <si>
    <t>År</t>
  </si>
  <si>
    <t>Odlad mängd lax  </t>
  </si>
  <si>
    <t>3000 ton </t>
  </si>
  <si>
    <t>Kostnader drift och underhåll</t>
  </si>
  <si>
    <t>Kommentar</t>
  </si>
  <si>
    <t>Fodermängd </t>
  </si>
  <si>
    <t>3750 ton </t>
  </si>
  <si>
    <t>Personalkostnad</t>
  </si>
  <si>
    <t>kkr</t>
  </si>
  <si>
    <t>Antar 20 personer à 1,2 MSEK/år, 3 % löneökning</t>
  </si>
  <si>
    <t>Foderkostnad </t>
  </si>
  <si>
    <t>18 kr/kg</t>
  </si>
  <si>
    <t>Material inkl foder, vattenrening</t>
  </si>
  <si>
    <t>Andel lax som hanteras inom forskningsprojekt (ej försäljning)  </t>
  </si>
  <si>
    <t>10 % </t>
  </si>
  <si>
    <t>Lokal inkl. arrende</t>
  </si>
  <si>
    <t>2 % årlig ökning</t>
  </si>
  <si>
    <t>Fisk till försäljning </t>
  </si>
  <si>
    <t>2700 ton (90% av 3000 ton, 10 % dödlighet) </t>
  </si>
  <si>
    <t>Elkostander</t>
  </si>
  <si>
    <t>Förbrukning 7,5 kWh/kg, elpris 2 kr/kWh</t>
  </si>
  <si>
    <t>Elförbrukning </t>
  </si>
  <si>
    <t>7,5 kWh/kg lax </t>
  </si>
  <si>
    <t>UH</t>
  </si>
  <si>
    <t>2 % av investeringskostnaden de första fem åren, sedan 5 %.  </t>
  </si>
  <si>
    <t>Elkostnad </t>
  </si>
  <si>
    <t>2 kr/kWh </t>
  </si>
  <si>
    <t xml:space="preserve">Övrigt, oföruttsett </t>
  </si>
  <si>
    <t>Försäljningspris </t>
  </si>
  <si>
    <t>100 kr/kg odlad lax (hel fisk)</t>
  </si>
  <si>
    <t>S:A Övrigt (till inv.kalkyl)</t>
  </si>
  <si>
    <t>Prisökning</t>
  </si>
  <si>
    <t>2 % per år</t>
  </si>
  <si>
    <t>Investeringskostnad </t>
  </si>
  <si>
    <t>500 MSEK, statliga medel/finansiering har ej antagits </t>
  </si>
  <si>
    <t>S:a Kostnader</t>
  </si>
  <si>
    <t>Personal </t>
  </si>
  <si>
    <t>20 heltidsanställda, 1,2 MSEK/år </t>
  </si>
  <si>
    <t>Löneökning </t>
  </si>
  <si>
    <t>3 % per år </t>
  </si>
  <si>
    <t>Intäkter - Antaganden</t>
  </si>
  <si>
    <t>10-15</t>
  </si>
  <si>
    <t>16-20</t>
  </si>
  <si>
    <t>Odling</t>
  </si>
  <si>
    <t>%</t>
  </si>
  <si>
    <t>Prisökning försäljning</t>
  </si>
  <si>
    <t>Intäkt</t>
  </si>
  <si>
    <t>SEK/kg odlad lax</t>
  </si>
  <si>
    <t xml:space="preserve">Intäkter odlad lax </t>
  </si>
  <si>
    <t>Antagande: eget slakteri, pris försäljning hel slaktad lax. Pris satt till 15 % över pris odlad lax i Norge. Uppstart 2 år, full kapaciet efter 7 år.</t>
  </si>
  <si>
    <t xml:space="preserve">S:a Förväntad intäkt </t>
  </si>
  <si>
    <t>Antag intäkt</t>
  </si>
  <si>
    <t>kr/kg odlad lax</t>
  </si>
  <si>
    <t xml:space="preserve">Produktion </t>
  </si>
  <si>
    <t>ton</t>
  </si>
  <si>
    <t>Investeringskalkyl</t>
  </si>
  <si>
    <t>ver 1.3</t>
  </si>
  <si>
    <t>Belopp anges i tkr om inget annat anges</t>
  </si>
  <si>
    <t>Instruktion nedan</t>
  </si>
  <si>
    <t>Indata registreras i blå celler</t>
  </si>
  <si>
    <t>Kommentarer investeringskalkyl till höger</t>
  </si>
  <si>
    <t>Kommentarer till investeringskalkyl</t>
  </si>
  <si>
    <t xml:space="preserve">Antal år för kalkyl:  </t>
  </si>
  <si>
    <t>Ange antal år som kalkyl ska beräknas på, alternativ finns i listan i cellen nedan</t>
  </si>
  <si>
    <t>Grundläge är att investering ska beräknas på 5-årsperiod, men om investeringen beräknas kunna skapa värde under längre tid kan 10 år tillämpas.</t>
  </si>
  <si>
    <t xml:space="preserve">Ange kostnaden för investeringen. Belopp anges med minustecken. </t>
  </si>
  <si>
    <t>Vid en godkänt investering kommer avdelningen där investering görs belastas med en avskrivningskostnad under avskrivningstiden, vilket</t>
  </si>
  <si>
    <t>3.1</t>
  </si>
  <si>
    <t>Ange förväntad intäkt alt kostnadsreduktion i cellens lista</t>
  </si>
  <si>
    <t xml:space="preserve">behöver beaktas i avdelningens budget. </t>
  </si>
  <si>
    <t>3.2</t>
  </si>
  <si>
    <t>Ange förväntade intäkter för kommande år. Belopp anges med plustecken.</t>
  </si>
  <si>
    <t>Ange kostnader som är hänförliga till drift och underhåll för investering utifrån förväntad nyttjandegrad (intäkter). Belopp anges med minustecken.</t>
  </si>
  <si>
    <t>Grundinvestering (kostnad):</t>
  </si>
  <si>
    <r>
      <t xml:space="preserve">Ange kostnader som är hänförlig till finansieringskostnad vid extern finansiering </t>
    </r>
    <r>
      <rPr>
        <i/>
        <sz val="11"/>
        <color theme="1"/>
        <rFont val="Calibri"/>
        <family val="2"/>
        <scheme val="minor"/>
      </rPr>
      <t>(obs, endast delägda dotterbolag)</t>
    </r>
    <r>
      <rPr>
        <sz val="11"/>
        <color theme="1"/>
        <rFont val="Calibri"/>
        <family val="2"/>
        <scheme val="minor"/>
      </rPr>
      <t>. Belopp anges med minustecken.</t>
    </r>
  </si>
  <si>
    <t xml:space="preserve"> Avser kostnad för att få investering på plats. Ska motsvara det belopp som får aktiveras i balansräkningen (ev bidrag minskar grundinvestering). </t>
  </si>
  <si>
    <t xml:space="preserve">Observera att investering om årsvärden är &gt;10 år så anges årsvärden i 5-årsintervall </t>
  </si>
  <si>
    <t>Förväntad intäkt (inbetalningar):</t>
  </si>
  <si>
    <t>Efter indata angivits kan KPI:er och diagram analyseras. Visulalisering av diagram ändras enklast i dess filter, t ex antal år och etiketter.</t>
  </si>
  <si>
    <t>Investeringens förväntade intäkt oavsett om det är ny- eller ersättningsinvestering.</t>
  </si>
  <si>
    <r>
      <rPr>
        <b/>
        <i/>
        <sz val="11"/>
        <color theme="6"/>
        <rFont val="Calibri"/>
        <family val="2"/>
        <scheme val="minor"/>
      </rPr>
      <t>Känslighetsanalys</t>
    </r>
    <r>
      <rPr>
        <sz val="11"/>
        <color theme="1"/>
        <rFont val="Calibri"/>
        <family val="2"/>
        <scheme val="minor"/>
      </rPr>
      <t xml:space="preserve"> utförs på separat kalkylblad</t>
    </r>
  </si>
  <si>
    <t>Kostnader för drift och underhåll:</t>
  </si>
  <si>
    <t>Ange antal år för kalkyl</t>
  </si>
  <si>
    <t xml:space="preserve">Samtliga kostnader för drift av investering samt underhåll av denna. </t>
  </si>
  <si>
    <t>Avkastningskrav</t>
  </si>
  <si>
    <t>Finansieringskostnader vid extern finansiering</t>
  </si>
  <si>
    <t>Grundinvestering (kostnad)</t>
  </si>
  <si>
    <t xml:space="preserve">Denna rad används endast vid kalkyl i delägda dotterbolag där det behövs extern finansiering kopplat till investeringen. </t>
  </si>
  <si>
    <t>Ange årsvärde för internvall</t>
  </si>
  <si>
    <t>11-15</t>
  </si>
  <si>
    <t>21-25</t>
  </si>
  <si>
    <t>26-30</t>
  </si>
  <si>
    <t>KPI:er</t>
  </si>
  <si>
    <t>Förväntad intäkt (inbetalningar)</t>
  </si>
  <si>
    <t>Nettonuvärde:</t>
  </si>
  <si>
    <t xml:space="preserve">Indikator för att bedöma lönsamheten hos investeringen. Nettonuvärde sätter ett tidsvärde på likviditetsflöde för att bestämma dagens värde </t>
  </si>
  <si>
    <t xml:space="preserve">för framtida betalningsström. </t>
  </si>
  <si>
    <t>Material</t>
  </si>
  <si>
    <t>Internränta (modifierad)</t>
  </si>
  <si>
    <t>Lokal</t>
  </si>
  <si>
    <t>Den avkastning som investeringen ger, kan jämföras med avkastningskravet</t>
  </si>
  <si>
    <t>Övrigt</t>
  </si>
  <si>
    <t xml:space="preserve">Förväntad kostnad drift och underhåll </t>
  </si>
  <si>
    <t xml:space="preserve">Återbetalningstid nuvärde (år) </t>
  </si>
  <si>
    <t xml:space="preserve">Anger återbetalningstid beräknat på nettonuvärde, se tabell under diagram för Nettonuvärde vid respektive år. </t>
  </si>
  <si>
    <t>Diagram</t>
  </si>
  <si>
    <t>Förväntad kostnad (Utbetalningar)</t>
  </si>
  <si>
    <t xml:space="preserve">Diagram kan anpassas i dess filter med avseende på antal år, etiketter, rubriker mm. </t>
  </si>
  <si>
    <t>Kassaflöde per år</t>
  </si>
  <si>
    <t>Kassaflöde per år - Ackumulerat</t>
  </si>
  <si>
    <t>Ackumulerat värde sista året i intervall</t>
  </si>
  <si>
    <t>Nettonuvärde</t>
  </si>
  <si>
    <t>Grundkalkyl</t>
  </si>
  <si>
    <t>Investering</t>
  </si>
  <si>
    <t>Kassaflöde per år inkl invest.</t>
  </si>
  <si>
    <t>Kassaflöde (ack.)</t>
  </si>
  <si>
    <t>Nettonuvärde (ack.)</t>
  </si>
  <si>
    <t>Anger tidsperiod i kalkyl</t>
  </si>
  <si>
    <t>Återbetalningstid nuvärde (år), del av år</t>
  </si>
  <si>
    <t>Tabeller till kalkylbladet "känslighetsanalys"</t>
  </si>
  <si>
    <t xml:space="preserve">Intäkt </t>
  </si>
  <si>
    <t>Kostnad</t>
  </si>
  <si>
    <t>Variabel</t>
  </si>
  <si>
    <t>Nettonuvärde (kkr)</t>
  </si>
  <si>
    <t>Känslighetsanalys - Fasta värden/förändringar</t>
  </si>
  <si>
    <t xml:space="preserve">Nedan analys visar KPI:er och diagram utifrån att investeringskostnad ökar, intäkter minskar samt kostnadsökning för drift och underhåll till givna förändringar.  </t>
  </si>
  <si>
    <t>I "Varibel" kan förutsättningar justeras utifrån separat tabell, ange procentuell förändring i denna.</t>
  </si>
  <si>
    <t>Indata registreras i turkosa celler</t>
  </si>
  <si>
    <t>Ange procentuell förändring nedan</t>
  </si>
  <si>
    <t>(+ avser ökade kostnader)</t>
  </si>
  <si>
    <t>(+ avser ökade intäkter)</t>
  </si>
  <si>
    <t>Datalist</t>
  </si>
  <si>
    <t>Antal år för kalkyl</t>
  </si>
  <si>
    <t>(vlookup)</t>
  </si>
  <si>
    <t>Intäkt eller kostnadsreduktion</t>
  </si>
  <si>
    <t>Kostnadsreduktion</t>
  </si>
  <si>
    <t>Förberäkning av KPI:er</t>
  </si>
  <si>
    <t>Denna styr kalkylens upplägg avseende tidsperioder</t>
  </si>
  <si>
    <t>Version</t>
  </si>
  <si>
    <t>Sign</t>
  </si>
  <si>
    <t>1.0</t>
  </si>
  <si>
    <t>Investeringskalkyl med beräkning på 5 eller 10 år samt separat känslighetsanalys</t>
  </si>
  <si>
    <t>JS</t>
  </si>
  <si>
    <t>1.1</t>
  </si>
  <si>
    <t xml:space="preserve">Lagt till "Finansieringskostnader vid extern finansiering" på separat rad, samt angivit i "kommentarer" när denna ska användas. </t>
  </si>
  <si>
    <t>1.2</t>
  </si>
  <si>
    <t>Förtydligande av kommentar att avskrivningar belastar avdelning under "Kommentarer till investeringskalkyl"</t>
  </si>
  <si>
    <t>1.3</t>
  </si>
  <si>
    <t xml:space="preserve">Anpassad kalkylränta till 7% samt anpassat mall till investering upp till 30 år.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</si>
</sst>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0.0"/>
    <numFmt numFmtId="168" formatCode="#,##0.0"/>
    <numFmt numFmtId="169" formatCode="_-* #,##0_-;\-* #,##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F2CC"/>
        <bgColor indexed="64"/>
      </patternFill>
    </fill>
  </fills>
  <borders count="7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0" fillId="15" borderId="0" applyNumberFormat="0" applyBorder="0" applyAlignment="0" applyProtection="0"/>
    <xf numFmtId="0" fontId="1" fillId="16" borderId="0" applyNumberFormat="0" applyBorder="0" applyAlignment="0" applyProtection="0"/>
  </cellStyleXfs>
  <cellXfs count="277">
    <xf numFmtId="0" fontId="0" fillId="0" borderId="0" xfId="0"/>
    <xf numFmtId="0" fontId="1" fillId="0" borderId="0" xfId="1"/>
    <xf numFmtId="0" fontId="1" fillId="0" borderId="13" xfId="1" applyBorder="1"/>
    <xf numFmtId="0" fontId="12" fillId="5" borderId="9" xfId="19" applyFont="1" applyBorder="1" applyProtection="1"/>
    <xf numFmtId="0" fontId="12" fillId="5" borderId="0" xfId="19" applyFont="1" applyBorder="1" applyProtection="1"/>
    <xf numFmtId="0" fontId="15" fillId="5" borderId="10" xfId="19" applyFont="1" applyBorder="1" applyAlignment="1" applyProtection="1">
      <alignment horizontal="right"/>
    </xf>
    <xf numFmtId="0" fontId="12" fillId="6" borderId="0" xfId="20" applyFont="1" applyProtection="1"/>
    <xf numFmtId="0" fontId="10" fillId="6" borderId="0" xfId="20" applyProtection="1"/>
    <xf numFmtId="0" fontId="1" fillId="0" borderId="9" xfId="1" applyBorder="1"/>
    <xf numFmtId="0" fontId="11" fillId="0" borderId="0" xfId="1" applyFont="1"/>
    <xf numFmtId="0" fontId="11" fillId="0" borderId="10" xfId="1" applyFont="1" applyBorder="1" applyAlignment="1">
      <alignment horizontal="right"/>
    </xf>
    <xf numFmtId="0" fontId="8" fillId="7" borderId="0" xfId="21" applyFont="1" applyProtection="1"/>
    <xf numFmtId="0" fontId="2" fillId="0" borderId="0" xfId="1" applyFont="1"/>
    <xf numFmtId="0" fontId="2" fillId="0" borderId="0" xfId="1" applyFont="1" applyAlignment="1">
      <alignment horizontal="right"/>
    </xf>
    <xf numFmtId="0" fontId="1" fillId="0" borderId="10" xfId="1" applyBorder="1"/>
    <xf numFmtId="0" fontId="1" fillId="0" borderId="0" xfId="1" quotePrefix="1"/>
    <xf numFmtId="0" fontId="9" fillId="0" borderId="3" xfId="1" applyFont="1" applyBorder="1"/>
    <xf numFmtId="0" fontId="1" fillId="0" borderId="4" xfId="1" applyBorder="1"/>
    <xf numFmtId="0" fontId="1" fillId="0" borderId="5" xfId="1" applyBorder="1"/>
    <xf numFmtId="0" fontId="8" fillId="7" borderId="0" xfId="21" quotePrefix="1" applyFont="1" applyProtection="1"/>
    <xf numFmtId="0" fontId="1" fillId="0" borderId="3" xfId="1" applyBorder="1"/>
    <xf numFmtId="0" fontId="0" fillId="0" borderId="4" xfId="1" applyFont="1" applyBorder="1"/>
    <xf numFmtId="0" fontId="1" fillId="0" borderId="11" xfId="1" applyBorder="1"/>
    <xf numFmtId="0" fontId="1" fillId="0" borderId="14" xfId="1" applyBorder="1"/>
    <xf numFmtId="0" fontId="1" fillId="0" borderId="6" xfId="1" applyBorder="1"/>
    <xf numFmtId="0" fontId="8" fillId="0" borderId="0" xfId="1" applyFont="1"/>
    <xf numFmtId="0" fontId="9" fillId="0" borderId="0" xfId="1" applyFont="1"/>
    <xf numFmtId="0" fontId="1" fillId="0" borderId="1" xfId="1" applyBorder="1"/>
    <xf numFmtId="0" fontId="1" fillId="8" borderId="0" xfId="1" applyFill="1"/>
    <xf numFmtId="0" fontId="2" fillId="0" borderId="1" xfId="1" applyFont="1" applyBorder="1"/>
    <xf numFmtId="3" fontId="1" fillId="0" borderId="0" xfId="1" applyNumberFormat="1"/>
    <xf numFmtId="0" fontId="1" fillId="0" borderId="5" xfId="1" applyBorder="1" applyAlignment="1">
      <alignment horizontal="center"/>
    </xf>
    <xf numFmtId="0" fontId="1" fillId="0" borderId="4" xfId="1" applyBorder="1" applyAlignment="1">
      <alignment horizontal="center"/>
    </xf>
    <xf numFmtId="3" fontId="1" fillId="0" borderId="5" xfId="1" applyNumberFormat="1" applyBorder="1"/>
    <xf numFmtId="0" fontId="8" fillId="0" borderId="3" xfId="1" applyFont="1" applyBorder="1"/>
    <xf numFmtId="3" fontId="1" fillId="0" borderId="4" xfId="1" applyNumberFormat="1" applyBorder="1"/>
    <xf numFmtId="0" fontId="1" fillId="0" borderId="7" xfId="1" applyBorder="1"/>
    <xf numFmtId="3" fontId="1" fillId="0" borderId="8" xfId="1" applyNumberFormat="1" applyBorder="1"/>
    <xf numFmtId="3" fontId="1" fillId="0" borderId="10" xfId="1" applyNumberFormat="1" applyBorder="1"/>
    <xf numFmtId="0" fontId="1" fillId="2" borderId="0" xfId="1" applyFill="1"/>
    <xf numFmtId="3" fontId="1" fillId="0" borderId="6" xfId="1" applyNumberFormat="1" applyBorder="1"/>
    <xf numFmtId="0" fontId="2" fillId="0" borderId="3" xfId="1" applyFont="1" applyBorder="1"/>
    <xf numFmtId="0" fontId="14" fillId="9" borderId="0" xfId="1" applyFont="1" applyFill="1"/>
    <xf numFmtId="3" fontId="14" fillId="9" borderId="0" xfId="1" applyNumberFormat="1" applyFont="1" applyFill="1"/>
    <xf numFmtId="9" fontId="7" fillId="0" borderId="0" xfId="18" applyNumberFormat="1" applyProtection="1"/>
    <xf numFmtId="3" fontId="6" fillId="0" borderId="0" xfId="1" applyNumberFormat="1" applyFont="1"/>
    <xf numFmtId="167" fontId="1" fillId="0" borderId="5" xfId="1" applyNumberFormat="1" applyBorder="1" applyAlignment="1">
      <alignment horizontal="right"/>
    </xf>
    <xf numFmtId="3" fontId="1" fillId="0" borderId="1" xfId="1" applyNumberFormat="1" applyBorder="1"/>
    <xf numFmtId="0" fontId="7" fillId="0" borderId="0" xfId="18" applyBorder="1" applyProtection="1"/>
    <xf numFmtId="0" fontId="7" fillId="0" borderId="0" xfId="18" applyProtection="1"/>
    <xf numFmtId="0" fontId="0" fillId="0" borderId="0" xfId="0" applyAlignment="1">
      <alignment horizontal="right"/>
    </xf>
    <xf numFmtId="0" fontId="0" fillId="0" borderId="1" xfId="0" applyBorder="1"/>
    <xf numFmtId="3" fontId="1" fillId="0" borderId="1" xfId="1" applyNumberFormat="1" applyBorder="1" applyAlignment="1">
      <alignment horizontal="center"/>
    </xf>
    <xf numFmtId="2" fontId="0" fillId="0" borderId="0" xfId="0" applyNumberFormat="1"/>
    <xf numFmtId="3" fontId="3" fillId="0" borderId="1" xfId="0" applyNumberFormat="1" applyFont="1" applyBorder="1"/>
    <xf numFmtId="0" fontId="2" fillId="0" borderId="1" xfId="0" applyFont="1" applyBorder="1"/>
    <xf numFmtId="0" fontId="17" fillId="0" borderId="1" xfId="0" applyFont="1" applyBorder="1"/>
    <xf numFmtId="0" fontId="14" fillId="9" borderId="1" xfId="1" applyFont="1" applyFill="1" applyBorder="1" applyAlignment="1">
      <alignment horizontal="center"/>
    </xf>
    <xf numFmtId="0" fontId="14" fillId="10" borderId="1" xfId="1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0" fontId="14" fillId="12" borderId="1" xfId="1" applyFont="1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9" fontId="1" fillId="4" borderId="1" xfId="1" applyNumberFormat="1" applyFill="1" applyBorder="1" applyProtection="1">
      <protection locked="0"/>
    </xf>
    <xf numFmtId="3" fontId="1" fillId="3" borderId="1" xfId="1" applyNumberFormat="1" applyFill="1" applyBorder="1" applyProtection="1">
      <protection locked="0"/>
    </xf>
    <xf numFmtId="3" fontId="1" fillId="3" borderId="5" xfId="1" applyNumberFormat="1" applyFill="1" applyBorder="1" applyProtection="1">
      <protection locked="0"/>
    </xf>
    <xf numFmtId="3" fontId="1" fillId="3" borderId="6" xfId="1" applyNumberFormat="1" applyFill="1" applyBorder="1" applyProtection="1">
      <protection locked="0"/>
    </xf>
    <xf numFmtId="3" fontId="1" fillId="3" borderId="2" xfId="1" applyNumberFormat="1" applyFill="1" applyBorder="1" applyProtection="1">
      <protection locked="0"/>
    </xf>
    <xf numFmtId="3" fontId="1" fillId="3" borderId="8" xfId="1" applyNumberFormat="1" applyFill="1" applyBorder="1" applyProtection="1">
      <protection locked="0"/>
    </xf>
    <xf numFmtId="3" fontId="1" fillId="3" borderId="12" xfId="1" applyNumberFormat="1" applyFill="1" applyBorder="1" applyProtection="1">
      <protection locked="0"/>
    </xf>
    <xf numFmtId="9" fontId="1" fillId="14" borderId="1" xfId="17" applyFill="1" applyBorder="1" applyAlignment="1" applyProtection="1">
      <alignment horizontal="center"/>
      <protection locked="0"/>
    </xf>
    <xf numFmtId="0" fontId="3" fillId="0" borderId="0" xfId="1" applyFont="1"/>
    <xf numFmtId="3" fontId="7" fillId="0" borderId="1" xfId="18" applyNumberFormat="1" applyBorder="1" applyProtection="1"/>
    <xf numFmtId="0" fontId="0" fillId="0" borderId="0" xfId="0" applyAlignment="1">
      <alignment wrapText="1"/>
    </xf>
    <xf numFmtId="0" fontId="10" fillId="15" borderId="15" xfId="22" applyBorder="1" applyAlignment="1">
      <alignment wrapText="1"/>
    </xf>
    <xf numFmtId="0" fontId="1" fillId="16" borderId="15" xfId="23" applyBorder="1" applyAlignment="1">
      <alignment wrapText="1"/>
    </xf>
    <xf numFmtId="0" fontId="15" fillId="5" borderId="0" xfId="19" applyFont="1" applyBorder="1" applyAlignment="1" applyProtection="1">
      <alignment horizontal="right"/>
    </xf>
    <xf numFmtId="0" fontId="11" fillId="0" borderId="0" xfId="1" applyFont="1" applyAlignment="1">
      <alignment horizontal="right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18" xfId="1" applyBorder="1" applyAlignment="1">
      <alignment horizontal="center"/>
    </xf>
    <xf numFmtId="3" fontId="1" fillId="0" borderId="21" xfId="1" applyNumberFormat="1" applyBorder="1"/>
    <xf numFmtId="3" fontId="1" fillId="0" borderId="22" xfId="1" applyNumberFormat="1" applyBorder="1"/>
    <xf numFmtId="3" fontId="1" fillId="0" borderId="23" xfId="1" applyNumberFormat="1" applyBorder="1"/>
    <xf numFmtId="3" fontId="1" fillId="0" borderId="24" xfId="1" applyNumberFormat="1" applyBorder="1"/>
    <xf numFmtId="3" fontId="1" fillId="0" borderId="29" xfId="1" applyNumberFormat="1" applyBorder="1"/>
    <xf numFmtId="3" fontId="1" fillId="0" borderId="30" xfId="1" applyNumberFormat="1" applyBorder="1"/>
    <xf numFmtId="3" fontId="1" fillId="0" borderId="31" xfId="1" applyNumberFormat="1" applyBorder="1"/>
    <xf numFmtId="3" fontId="1" fillId="0" borderId="13" xfId="1" applyNumberFormat="1" applyBorder="1"/>
    <xf numFmtId="3" fontId="1" fillId="0" borderId="14" xfId="1" applyNumberFormat="1" applyBorder="1"/>
    <xf numFmtId="0" fontId="1" fillId="0" borderId="0" xfId="1" applyAlignment="1">
      <alignment horizontal="center"/>
    </xf>
    <xf numFmtId="0" fontId="1" fillId="3" borderId="1" xfId="1" applyFill="1" applyBorder="1" applyAlignment="1" applyProtection="1">
      <alignment horizontal="right"/>
      <protection locked="0"/>
    </xf>
    <xf numFmtId="0" fontId="3" fillId="0" borderId="0" xfId="0" applyFont="1"/>
    <xf numFmtId="0" fontId="16" fillId="0" borderId="0" xfId="18" applyFont="1" applyBorder="1" applyProtection="1"/>
    <xf numFmtId="9" fontId="7" fillId="0" borderId="0" xfId="18" applyNumberFormat="1" applyBorder="1" applyProtection="1"/>
    <xf numFmtId="3" fontId="7" fillId="0" borderId="0" xfId="18" applyNumberFormat="1" applyBorder="1" applyProtection="1"/>
    <xf numFmtId="3" fontId="7" fillId="0" borderId="0" xfId="18" applyNumberFormat="1" applyFill="1" applyBorder="1" applyProtection="1"/>
    <xf numFmtId="0" fontId="7" fillId="0" borderId="0" xfId="18" applyFill="1" applyBorder="1" applyProtection="1"/>
    <xf numFmtId="0" fontId="9" fillId="0" borderId="39" xfId="1" applyFont="1" applyBorder="1"/>
    <xf numFmtId="0" fontId="3" fillId="0" borderId="32" xfId="3" applyFont="1" applyBorder="1"/>
    <xf numFmtId="0" fontId="3" fillId="0" borderId="33" xfId="1" applyFont="1" applyBorder="1"/>
    <xf numFmtId="0" fontId="16" fillId="0" borderId="34" xfId="18" applyFont="1" applyBorder="1" applyAlignment="1" applyProtection="1">
      <alignment horizontal="center"/>
    </xf>
    <xf numFmtId="0" fontId="3" fillId="0" borderId="35" xfId="1" applyFont="1" applyBorder="1"/>
    <xf numFmtId="0" fontId="16" fillId="0" borderId="36" xfId="18" applyFont="1" applyBorder="1" applyAlignment="1" applyProtection="1">
      <alignment horizontal="center"/>
    </xf>
    <xf numFmtId="0" fontId="3" fillId="0" borderId="37" xfId="1" applyFont="1" applyBorder="1"/>
    <xf numFmtId="0" fontId="3" fillId="0" borderId="40" xfId="0" applyFont="1" applyBorder="1"/>
    <xf numFmtId="0" fontId="16" fillId="0" borderId="41" xfId="18" applyFont="1" applyBorder="1" applyProtection="1"/>
    <xf numFmtId="0" fontId="3" fillId="0" borderId="41" xfId="0" applyFont="1" applyBorder="1"/>
    <xf numFmtId="0" fontId="3" fillId="0" borderId="42" xfId="0" applyFont="1" applyBorder="1"/>
    <xf numFmtId="0" fontId="9" fillId="0" borderId="38" xfId="0" applyFont="1" applyBorder="1"/>
    <xf numFmtId="0" fontId="2" fillId="0" borderId="4" xfId="1" applyFont="1" applyBorder="1"/>
    <xf numFmtId="0" fontId="2" fillId="0" borderId="24" xfId="1" applyFont="1" applyBorder="1"/>
    <xf numFmtId="0" fontId="2" fillId="0" borderId="5" xfId="1" applyFont="1" applyBorder="1"/>
    <xf numFmtId="2" fontId="7" fillId="0" borderId="1" xfId="18" applyNumberFormat="1" applyBorder="1" applyProtection="1"/>
    <xf numFmtId="0" fontId="7" fillId="0" borderId="3" xfId="18" applyFill="1" applyBorder="1" applyProtection="1"/>
    <xf numFmtId="0" fontId="9" fillId="0" borderId="3" xfId="1" applyFont="1" applyBorder="1" applyAlignment="1">
      <alignment horizontal="right"/>
    </xf>
    <xf numFmtId="0" fontId="1" fillId="0" borderId="43" xfId="1" applyBorder="1" applyAlignment="1">
      <alignment horizontal="center"/>
    </xf>
    <xf numFmtId="3" fontId="1" fillId="0" borderId="45" xfId="1" applyNumberFormat="1" applyBorder="1"/>
    <xf numFmtId="3" fontId="1" fillId="0" borderId="44" xfId="1" applyNumberFormat="1" applyBorder="1"/>
    <xf numFmtId="3" fontId="1" fillId="0" borderId="1" xfId="1" applyNumberFormat="1" applyBorder="1" applyProtection="1">
      <protection locked="0"/>
    </xf>
    <xf numFmtId="3" fontId="1" fillId="0" borderId="2" xfId="1" applyNumberFormat="1" applyBorder="1" applyProtection="1">
      <protection locked="0"/>
    </xf>
    <xf numFmtId="3" fontId="1" fillId="0" borderId="6" xfId="1" applyNumberFormat="1" applyBorder="1" applyProtection="1">
      <protection locked="0"/>
    </xf>
    <xf numFmtId="3" fontId="1" fillId="0" borderId="12" xfId="1" applyNumberFormat="1" applyBorder="1" applyProtection="1">
      <protection locked="0"/>
    </xf>
    <xf numFmtId="3" fontId="1" fillId="0" borderId="3" xfId="1" applyNumberFormat="1" applyBorder="1" applyProtection="1">
      <protection locked="0"/>
    </xf>
    <xf numFmtId="3" fontId="1" fillId="0" borderId="44" xfId="1" applyNumberFormat="1" applyBorder="1" applyProtection="1">
      <protection locked="0"/>
    </xf>
    <xf numFmtId="3" fontId="1" fillId="0" borderId="11" xfId="1" applyNumberFormat="1" applyBorder="1" applyProtection="1">
      <protection locked="0"/>
    </xf>
    <xf numFmtId="3" fontId="1" fillId="0" borderId="46" xfId="1" applyNumberFormat="1" applyBorder="1" applyProtection="1">
      <protection locked="0"/>
    </xf>
    <xf numFmtId="3" fontId="1" fillId="0" borderId="7" xfId="1" applyNumberFormat="1" applyBorder="1" applyProtection="1">
      <protection locked="0"/>
    </xf>
    <xf numFmtId="3" fontId="1" fillId="0" borderId="47" xfId="1" applyNumberFormat="1" applyBorder="1" applyProtection="1">
      <protection locked="0"/>
    </xf>
    <xf numFmtId="0" fontId="7" fillId="0" borderId="0" xfId="18" applyFill="1" applyProtection="1"/>
    <xf numFmtId="0" fontId="7" fillId="17" borderId="0" xfId="18" applyFill="1" applyProtection="1"/>
    <xf numFmtId="0" fontId="9" fillId="17" borderId="0" xfId="1" applyFont="1" applyFill="1"/>
    <xf numFmtId="0" fontId="18" fillId="17" borderId="0" xfId="18" applyFont="1" applyFill="1" applyProtection="1"/>
    <xf numFmtId="0" fontId="0" fillId="0" borderId="0" xfId="1" applyFont="1"/>
    <xf numFmtId="3" fontId="1" fillId="0" borderId="2" xfId="1" applyNumberFormat="1" applyBorder="1"/>
    <xf numFmtId="3" fontId="1" fillId="0" borderId="12" xfId="1" applyNumberFormat="1" applyBorder="1"/>
    <xf numFmtId="3" fontId="1" fillId="0" borderId="19" xfId="1" applyNumberFormat="1" applyBorder="1"/>
    <xf numFmtId="3" fontId="1" fillId="0" borderId="20" xfId="1" applyNumberFormat="1" applyBorder="1"/>
    <xf numFmtId="3" fontId="1" fillId="0" borderId="25" xfId="1" applyNumberFormat="1" applyBorder="1"/>
    <xf numFmtId="3" fontId="1" fillId="0" borderId="26" xfId="1" applyNumberFormat="1" applyBorder="1"/>
    <xf numFmtId="3" fontId="1" fillId="0" borderId="27" xfId="1" applyNumberFormat="1" applyBorder="1"/>
    <xf numFmtId="3" fontId="1" fillId="0" borderId="28" xfId="1" applyNumberFormat="1" applyBorder="1"/>
    <xf numFmtId="0" fontId="7" fillId="0" borderId="4" xfId="18" applyFill="1" applyBorder="1" applyProtection="1"/>
    <xf numFmtId="3" fontId="7" fillId="0" borderId="4" xfId="18" applyNumberFormat="1" applyBorder="1" applyAlignment="1" applyProtection="1"/>
    <xf numFmtId="3" fontId="7" fillId="0" borderId="5" xfId="18" applyNumberFormat="1" applyBorder="1" applyProtection="1"/>
    <xf numFmtId="0" fontId="16" fillId="0" borderId="0" xfId="0" applyFont="1"/>
    <xf numFmtId="0" fontId="1" fillId="9" borderId="4" xfId="1" applyFill="1" applyBorder="1"/>
    <xf numFmtId="0" fontId="1" fillId="9" borderId="5" xfId="1" applyFill="1" applyBorder="1"/>
    <xf numFmtId="0" fontId="10" fillId="9" borderId="3" xfId="1" applyFont="1" applyFill="1" applyBorder="1"/>
    <xf numFmtId="0" fontId="7" fillId="0" borderId="0" xfId="18" applyFill="1" applyBorder="1" applyAlignment="1" applyProtection="1">
      <alignment horizontal="right"/>
    </xf>
    <xf numFmtId="0" fontId="10" fillId="10" borderId="3" xfId="1" applyFont="1" applyFill="1" applyBorder="1"/>
    <xf numFmtId="0" fontId="1" fillId="10" borderId="4" xfId="1" applyFill="1" applyBorder="1"/>
    <xf numFmtId="9" fontId="1" fillId="19" borderId="5" xfId="1" applyNumberFormat="1" applyFill="1" applyBorder="1"/>
    <xf numFmtId="0" fontId="10" fillId="11" borderId="3" xfId="1" applyFont="1" applyFill="1" applyBorder="1"/>
    <xf numFmtId="0" fontId="1" fillId="11" borderId="4" xfId="1" applyFill="1" applyBorder="1"/>
    <xf numFmtId="9" fontId="1" fillId="2" borderId="5" xfId="1" applyNumberFormat="1" applyFill="1" applyBorder="1"/>
    <xf numFmtId="0" fontId="10" fillId="12" borderId="3" xfId="1" applyFont="1" applyFill="1" applyBorder="1"/>
    <xf numFmtId="0" fontId="1" fillId="12" borderId="4" xfId="1" applyFill="1" applyBorder="1"/>
    <xf numFmtId="9" fontId="1" fillId="18" borderId="5" xfId="1" applyNumberFormat="1" applyFill="1" applyBorder="1"/>
    <xf numFmtId="0" fontId="10" fillId="13" borderId="3" xfId="1" applyFont="1" applyFill="1" applyBorder="1"/>
    <xf numFmtId="0" fontId="1" fillId="13" borderId="4" xfId="1" applyFill="1" applyBorder="1"/>
    <xf numFmtId="0" fontId="1" fillId="13" borderId="5" xfId="1" applyFill="1" applyBorder="1"/>
    <xf numFmtId="0" fontId="10" fillId="13" borderId="7" xfId="1" applyFont="1" applyFill="1" applyBorder="1"/>
    <xf numFmtId="0" fontId="10" fillId="13" borderId="13" xfId="1" applyFont="1" applyFill="1" applyBorder="1"/>
    <xf numFmtId="9" fontId="10" fillId="13" borderId="8" xfId="17" applyFont="1" applyFill="1" applyBorder="1" applyProtection="1"/>
    <xf numFmtId="0" fontId="10" fillId="13" borderId="9" xfId="1" applyFont="1" applyFill="1" applyBorder="1"/>
    <xf numFmtId="0" fontId="10" fillId="13" borderId="0" xfId="1" applyFont="1" applyFill="1"/>
    <xf numFmtId="9" fontId="10" fillId="13" borderId="10" xfId="17" applyFont="1" applyFill="1" applyBorder="1" applyProtection="1"/>
    <xf numFmtId="0" fontId="10" fillId="13" borderId="11" xfId="1" applyFont="1" applyFill="1" applyBorder="1"/>
    <xf numFmtId="0" fontId="10" fillId="13" borderId="14" xfId="1" applyFont="1" applyFill="1" applyBorder="1"/>
    <xf numFmtId="9" fontId="10" fillId="13" borderId="6" xfId="17" applyFont="1" applyFill="1" applyBorder="1" applyProtection="1"/>
    <xf numFmtId="0" fontId="14" fillId="9" borderId="12" xfId="1" applyFont="1" applyFill="1" applyBorder="1" applyAlignment="1">
      <alignment horizontal="center" wrapText="1"/>
    </xf>
    <xf numFmtId="0" fontId="14" fillId="9" borderId="2" xfId="1" applyFont="1" applyFill="1" applyBorder="1" applyAlignment="1">
      <alignment horizontal="center" wrapText="1"/>
    </xf>
    <xf numFmtId="0" fontId="14" fillId="10" borderId="12" xfId="1" applyFont="1" applyFill="1" applyBorder="1" applyAlignment="1">
      <alignment horizontal="center" wrapText="1"/>
    </xf>
    <xf numFmtId="9" fontId="14" fillId="10" borderId="2" xfId="1" applyNumberFormat="1" applyFont="1" applyFill="1" applyBorder="1" applyAlignment="1">
      <alignment horizontal="center" wrapText="1"/>
    </xf>
    <xf numFmtId="0" fontId="14" fillId="11" borderId="12" xfId="0" applyFont="1" applyFill="1" applyBorder="1" applyAlignment="1">
      <alignment horizontal="center" wrapText="1"/>
    </xf>
    <xf numFmtId="9" fontId="14" fillId="11" borderId="2" xfId="0" applyNumberFormat="1" applyFont="1" applyFill="1" applyBorder="1" applyAlignment="1">
      <alignment horizontal="center" wrapText="1"/>
    </xf>
    <xf numFmtId="0" fontId="14" fillId="12" borderId="12" xfId="1" applyFont="1" applyFill="1" applyBorder="1" applyAlignment="1">
      <alignment horizontal="center" wrapText="1"/>
    </xf>
    <xf numFmtId="9" fontId="14" fillId="12" borderId="2" xfId="1" applyNumberFormat="1" applyFont="1" applyFill="1" applyBorder="1" applyAlignment="1">
      <alignment horizontal="center" wrapText="1"/>
    </xf>
    <xf numFmtId="0" fontId="14" fillId="13" borderId="12" xfId="0" applyFont="1" applyFill="1" applyBorder="1" applyAlignment="1">
      <alignment horizontal="center" wrapText="1"/>
    </xf>
    <xf numFmtId="0" fontId="14" fillId="13" borderId="2" xfId="0" applyFont="1" applyFill="1" applyBorder="1" applyAlignment="1">
      <alignment horizontal="center" wrapText="1"/>
    </xf>
    <xf numFmtId="0" fontId="20" fillId="6" borderId="0" xfId="20" applyFont="1" applyProtection="1"/>
    <xf numFmtId="0" fontId="7" fillId="0" borderId="13" xfId="18" applyFill="1" applyBorder="1" applyProtection="1"/>
    <xf numFmtId="0" fontId="1" fillId="0" borderId="8" xfId="1" applyBorder="1"/>
    <xf numFmtId="0" fontId="7" fillId="0" borderId="9" xfId="18" applyFill="1" applyBorder="1" applyProtection="1"/>
    <xf numFmtId="0" fontId="7" fillId="0" borderId="11" xfId="18" applyFill="1" applyBorder="1" applyProtection="1"/>
    <xf numFmtId="0" fontId="7" fillId="0" borderId="14" xfId="18" applyFill="1" applyBorder="1" applyProtection="1"/>
    <xf numFmtId="168" fontId="7" fillId="0" borderId="14" xfId="18" applyNumberFormat="1" applyBorder="1" applyProtection="1"/>
    <xf numFmtId="0" fontId="7" fillId="0" borderId="14" xfId="18" applyBorder="1" applyProtection="1"/>
    <xf numFmtId="168" fontId="7" fillId="0" borderId="0" xfId="18" applyNumberFormat="1" applyBorder="1" applyProtection="1"/>
    <xf numFmtId="0" fontId="0" fillId="0" borderId="13" xfId="1" applyFont="1" applyBorder="1"/>
    <xf numFmtId="0" fontId="0" fillId="16" borderId="15" xfId="23" applyFont="1" applyBorder="1" applyAlignment="1">
      <alignment wrapText="1"/>
    </xf>
    <xf numFmtId="164" fontId="0" fillId="0" borderId="1" xfId="17" applyNumberFormat="1" applyFont="1" applyBorder="1" applyAlignment="1" applyProtection="1">
      <alignment horizontal="center"/>
    </xf>
    <xf numFmtId="164" fontId="1" fillId="0" borderId="5" xfId="17" applyNumberFormat="1" applyFill="1" applyBorder="1" applyAlignment="1" applyProtection="1">
      <alignment horizontal="right"/>
    </xf>
    <xf numFmtId="167" fontId="0" fillId="0" borderId="1" xfId="0" applyNumberFormat="1" applyBorder="1" applyAlignment="1">
      <alignment horizontal="center"/>
    </xf>
    <xf numFmtId="0" fontId="14" fillId="13" borderId="11" xfId="1" applyFont="1" applyFill="1" applyBorder="1" applyAlignment="1">
      <alignment horizontal="center" wrapText="1"/>
    </xf>
    <xf numFmtId="0" fontId="14" fillId="13" borderId="6" xfId="1" applyFont="1" applyFill="1" applyBorder="1" applyAlignment="1">
      <alignment horizontal="center" wrapText="1"/>
    </xf>
    <xf numFmtId="3" fontId="1" fillId="0" borderId="47" xfId="1" applyNumberFormat="1" applyBorder="1"/>
    <xf numFmtId="3" fontId="1" fillId="0" borderId="51" xfId="1" applyNumberFormat="1" applyBorder="1"/>
    <xf numFmtId="0" fontId="0" fillId="3" borderId="1" xfId="0" applyFill="1" applyBorder="1" applyProtection="1">
      <protection locked="0"/>
    </xf>
    <xf numFmtId="0" fontId="21" fillId="0" borderId="0" xfId="0" applyFont="1"/>
    <xf numFmtId="0" fontId="22" fillId="20" borderId="55" xfId="0" applyFont="1" applyFill="1" applyBorder="1"/>
    <xf numFmtId="0" fontId="23" fillId="20" borderId="56" xfId="0" applyFont="1" applyFill="1" applyBorder="1"/>
    <xf numFmtId="0" fontId="23" fillId="20" borderId="21" xfId="0" applyFont="1" applyFill="1" applyBorder="1"/>
    <xf numFmtId="0" fontId="23" fillId="20" borderId="22" xfId="0" applyFont="1" applyFill="1" applyBorder="1"/>
    <xf numFmtId="0" fontId="23" fillId="20" borderId="21" xfId="0" applyFont="1" applyFill="1" applyBorder="1" applyAlignment="1">
      <alignment wrapText="1"/>
    </xf>
    <xf numFmtId="0" fontId="24" fillId="20" borderId="22" xfId="0" applyFont="1" applyFill="1" applyBorder="1" applyAlignment="1">
      <alignment wrapText="1"/>
    </xf>
    <xf numFmtId="0" fontId="23" fillId="20" borderId="57" xfId="0" applyFont="1" applyFill="1" applyBorder="1"/>
    <xf numFmtId="0" fontId="23" fillId="20" borderId="58" xfId="0" applyFont="1" applyFill="1" applyBorder="1"/>
    <xf numFmtId="0" fontId="21" fillId="21" borderId="0" xfId="0" applyFont="1" applyFill="1"/>
    <xf numFmtId="0" fontId="0" fillId="21" borderId="0" xfId="0" applyFill="1"/>
    <xf numFmtId="0" fontId="21" fillId="22" borderId="0" xfId="0" applyFont="1" applyFill="1"/>
    <xf numFmtId="3" fontId="25" fillId="22" borderId="0" xfId="0" applyNumberFormat="1" applyFont="1" applyFill="1"/>
    <xf numFmtId="0" fontId="21" fillId="21" borderId="59" xfId="0" applyFont="1" applyFill="1" applyBorder="1"/>
    <xf numFmtId="0" fontId="21" fillId="22" borderId="59" xfId="0" applyFont="1" applyFill="1" applyBorder="1"/>
    <xf numFmtId="0" fontId="25" fillId="21" borderId="55" xfId="0" applyFont="1" applyFill="1" applyBorder="1"/>
    <xf numFmtId="0" fontId="0" fillId="21" borderId="56" xfId="0" applyFill="1" applyBorder="1"/>
    <xf numFmtId="0" fontId="21" fillId="21" borderId="21" xfId="0" applyFont="1" applyFill="1" applyBorder="1"/>
    <xf numFmtId="0" fontId="0" fillId="21" borderId="22" xfId="0" applyFill="1" applyBorder="1"/>
    <xf numFmtId="0" fontId="21" fillId="21" borderId="22" xfId="0" applyFont="1" applyFill="1" applyBorder="1" applyAlignment="1">
      <alignment wrapText="1"/>
    </xf>
    <xf numFmtId="0" fontId="25" fillId="22" borderId="21" xfId="0" applyFont="1" applyFill="1" applyBorder="1"/>
    <xf numFmtId="0" fontId="21" fillId="21" borderId="57" xfId="0" applyFont="1" applyFill="1" applyBorder="1"/>
    <xf numFmtId="0" fontId="21" fillId="21" borderId="61" xfId="0" applyFont="1" applyFill="1" applyBorder="1"/>
    <xf numFmtId="0" fontId="0" fillId="21" borderId="61" xfId="0" applyFill="1" applyBorder="1"/>
    <xf numFmtId="0" fontId="0" fillId="21" borderId="58" xfId="0" applyFill="1" applyBorder="1"/>
    <xf numFmtId="0" fontId="21" fillId="21" borderId="59" xfId="0" applyFont="1" applyFill="1" applyBorder="1" applyAlignment="1">
      <alignment horizontal="center" vertical="center"/>
    </xf>
    <xf numFmtId="0" fontId="0" fillId="21" borderId="59" xfId="0" applyFill="1" applyBorder="1" applyAlignment="1">
      <alignment horizontal="center" vertical="center"/>
    </xf>
    <xf numFmtId="3" fontId="21" fillId="22" borderId="59" xfId="0" applyNumberFormat="1" applyFont="1" applyFill="1" applyBorder="1" applyAlignment="1">
      <alignment horizontal="center" vertical="center"/>
    </xf>
    <xf numFmtId="3" fontId="25" fillId="22" borderId="59" xfId="0" applyNumberFormat="1" applyFont="1" applyFill="1" applyBorder="1" applyAlignment="1">
      <alignment horizontal="center" vertical="center"/>
    </xf>
    <xf numFmtId="0" fontId="25" fillId="21" borderId="60" xfId="0" applyFont="1" applyFill="1" applyBorder="1"/>
    <xf numFmtId="0" fontId="25" fillId="21" borderId="60" xfId="0" applyFont="1" applyFill="1" applyBorder="1" applyAlignment="1">
      <alignment horizontal="center" vertical="center"/>
    </xf>
    <xf numFmtId="49" fontId="25" fillId="21" borderId="60" xfId="0" applyNumberFormat="1" applyFont="1" applyFill="1" applyBorder="1" applyAlignment="1">
      <alignment horizontal="center" vertical="center"/>
    </xf>
    <xf numFmtId="1" fontId="21" fillId="21" borderId="59" xfId="0" applyNumberFormat="1" applyFont="1" applyFill="1" applyBorder="1" applyAlignment="1">
      <alignment horizontal="center" vertical="center"/>
    </xf>
    <xf numFmtId="0" fontId="2" fillId="0" borderId="0" xfId="0" applyFont="1"/>
    <xf numFmtId="0" fontId="21" fillId="21" borderId="59" xfId="0" applyFont="1" applyFill="1" applyBorder="1" applyAlignment="1">
      <alignment wrapText="1"/>
    </xf>
    <xf numFmtId="0" fontId="0" fillId="23" borderId="0" xfId="0" applyFill="1"/>
    <xf numFmtId="0" fontId="1" fillId="23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1" fillId="23" borderId="62" xfId="1" applyFill="1" applyBorder="1" applyAlignment="1">
      <alignment horizontal="center"/>
    </xf>
    <xf numFmtId="0" fontId="0" fillId="23" borderId="62" xfId="0" applyFill="1" applyBorder="1"/>
    <xf numFmtId="169" fontId="2" fillId="23" borderId="0" xfId="0" applyNumberFormat="1" applyFont="1" applyFill="1"/>
    <xf numFmtId="169" fontId="2" fillId="23" borderId="62" xfId="0" applyNumberFormat="1" applyFont="1" applyFill="1" applyBorder="1"/>
    <xf numFmtId="0" fontId="2" fillId="23" borderId="63" xfId="0" applyFont="1" applyFill="1" applyBorder="1"/>
    <xf numFmtId="0" fontId="0" fillId="23" borderId="64" xfId="0" applyFill="1" applyBorder="1"/>
    <xf numFmtId="0" fontId="0" fillId="23" borderId="65" xfId="0" applyFill="1" applyBorder="1"/>
    <xf numFmtId="0" fontId="0" fillId="23" borderId="66" xfId="0" applyFill="1" applyBorder="1"/>
    <xf numFmtId="0" fontId="0" fillId="23" borderId="67" xfId="0" applyFill="1" applyBorder="1"/>
    <xf numFmtId="0" fontId="8" fillId="23" borderId="66" xfId="1" applyFont="1" applyFill="1" applyBorder="1"/>
    <xf numFmtId="0" fontId="17" fillId="23" borderId="67" xfId="0" applyFont="1" applyFill="1" applyBorder="1"/>
    <xf numFmtId="0" fontId="2" fillId="23" borderId="66" xfId="1" applyFont="1" applyFill="1" applyBorder="1"/>
    <xf numFmtId="0" fontId="2" fillId="23" borderId="66" xfId="1" applyFont="1" applyFill="1" applyBorder="1" applyAlignment="1">
      <alignment wrapText="1"/>
    </xf>
    <xf numFmtId="9" fontId="3" fillId="23" borderId="67" xfId="0" applyNumberFormat="1" applyFont="1" applyFill="1" applyBorder="1"/>
    <xf numFmtId="0" fontId="1" fillId="23" borderId="66" xfId="1" applyFill="1" applyBorder="1"/>
    <xf numFmtId="169" fontId="0" fillId="23" borderId="0" xfId="0" applyNumberFormat="1" applyFill="1"/>
    <xf numFmtId="0" fontId="3" fillId="23" borderId="67" xfId="0" applyFont="1" applyFill="1" applyBorder="1"/>
    <xf numFmtId="0" fontId="1" fillId="23" borderId="66" xfId="1" applyFill="1" applyBorder="1" applyAlignment="1">
      <alignment vertical="center"/>
    </xf>
    <xf numFmtId="0" fontId="0" fillId="23" borderId="0" xfId="0" applyFill="1" applyAlignment="1">
      <alignment horizontal="center" vertical="center"/>
    </xf>
    <xf numFmtId="169" fontId="0" fillId="23" borderId="0" xfId="0" applyNumberFormat="1" applyFill="1" applyAlignment="1">
      <alignment vertical="center"/>
    </xf>
    <xf numFmtId="0" fontId="0" fillId="23" borderId="67" xfId="0" applyFill="1" applyBorder="1" applyAlignment="1">
      <alignment vertical="center" wrapText="1"/>
    </xf>
    <xf numFmtId="0" fontId="2" fillId="23" borderId="68" xfId="0" applyFont="1" applyFill="1" applyBorder="1"/>
    <xf numFmtId="0" fontId="0" fillId="23" borderId="69" xfId="0" applyFill="1" applyBorder="1"/>
    <xf numFmtId="0" fontId="0" fillId="23" borderId="70" xfId="0" applyFill="1" applyBorder="1"/>
    <xf numFmtId="0" fontId="0" fillId="23" borderId="71" xfId="0" applyFill="1" applyBorder="1"/>
    <xf numFmtId="0" fontId="9" fillId="3" borderId="3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/>
    </xf>
    <xf numFmtId="3" fontId="19" fillId="0" borderId="48" xfId="1" applyNumberFormat="1" applyFont="1" applyBorder="1" applyAlignment="1">
      <alignment horizontal="center"/>
    </xf>
    <xf numFmtId="3" fontId="19" fillId="0" borderId="49" xfId="1" applyNumberFormat="1" applyFont="1" applyBorder="1" applyAlignment="1">
      <alignment horizontal="center"/>
    </xf>
    <xf numFmtId="3" fontId="19" fillId="0" borderId="50" xfId="1" applyNumberFormat="1" applyFont="1" applyBorder="1" applyAlignment="1">
      <alignment horizontal="center"/>
    </xf>
    <xf numFmtId="3" fontId="19" fillId="0" borderId="52" xfId="1" applyNumberFormat="1" applyFont="1" applyBorder="1" applyAlignment="1">
      <alignment horizontal="center"/>
    </xf>
    <xf numFmtId="3" fontId="19" fillId="0" borderId="53" xfId="1" applyNumberFormat="1" applyFont="1" applyBorder="1" applyAlignment="1">
      <alignment horizontal="center"/>
    </xf>
    <xf numFmtId="3" fontId="19" fillId="0" borderId="54" xfId="1" applyNumberFormat="1" applyFont="1" applyBorder="1" applyAlignment="1">
      <alignment horizontal="center"/>
    </xf>
    <xf numFmtId="0" fontId="14" fillId="13" borderId="7" xfId="1" applyFont="1" applyFill="1" applyBorder="1" applyAlignment="1">
      <alignment horizontal="center" wrapText="1"/>
    </xf>
    <xf numFmtId="0" fontId="14" fillId="13" borderId="8" xfId="1" applyFont="1" applyFill="1" applyBorder="1" applyAlignment="1">
      <alignment horizontal="center" wrapText="1"/>
    </xf>
    <xf numFmtId="0" fontId="9" fillId="14" borderId="3" xfId="0" applyFont="1" applyFill="1" applyBorder="1" applyAlignment="1">
      <alignment horizontal="center"/>
    </xf>
    <xf numFmtId="0" fontId="9" fillId="14" borderId="5" xfId="0" applyFont="1" applyFill="1" applyBorder="1" applyAlignment="1">
      <alignment horizontal="center"/>
    </xf>
    <xf numFmtId="0" fontId="2" fillId="3" borderId="3" xfId="1" applyFont="1" applyFill="1" applyBorder="1" applyAlignment="1" applyProtection="1">
      <protection locked="0"/>
    </xf>
    <xf numFmtId="0" fontId="2" fillId="3" borderId="4" xfId="1" applyFont="1" applyFill="1" applyBorder="1" applyAlignment="1" applyProtection="1">
      <protection locked="0"/>
    </xf>
  </cellXfs>
  <cellStyles count="24">
    <cellStyle name="20 % - Dekorfärg3" xfId="21" builtinId="38"/>
    <cellStyle name="20 % - Dekorfärg6" xfId="23" builtinId="50"/>
    <cellStyle name="Dekorfärg1" xfId="19" builtinId="29"/>
    <cellStyle name="Dekorfärg3" xfId="20" builtinId="37"/>
    <cellStyle name="Dekorfärg6" xfId="22" builtinId="49"/>
    <cellStyle name="Förklarande text" xfId="18" builtinId="53"/>
    <cellStyle name="Normal" xfId="0" builtinId="0"/>
    <cellStyle name="Normal 2" xfId="3" xr:uid="{00000000-0005-0000-0000-000001000000}"/>
    <cellStyle name="Normal 2 2" xfId="4" xr:uid="{00000000-0005-0000-0000-000002000000}"/>
    <cellStyle name="Normal 2 3" xfId="5" xr:uid="{00000000-0005-0000-0000-000003000000}"/>
    <cellStyle name="Normal 2 3 2" xfId="6" xr:uid="{00000000-0005-0000-0000-000004000000}"/>
    <cellStyle name="Normal 2 4" xfId="7" xr:uid="{00000000-0005-0000-0000-000005000000}"/>
    <cellStyle name="Normal 3" xfId="8" xr:uid="{00000000-0005-0000-0000-000006000000}"/>
    <cellStyle name="Normal 4" xfId="9" xr:uid="{00000000-0005-0000-0000-000007000000}"/>
    <cellStyle name="Normal 5" xfId="10" xr:uid="{00000000-0005-0000-0000-000008000000}"/>
    <cellStyle name="Normal 6" xfId="1" xr:uid="{00000000-0005-0000-0000-000009000000}"/>
    <cellStyle name="Normal 7" xfId="11" xr:uid="{00000000-0005-0000-0000-00000A000000}"/>
    <cellStyle name="Normal 8" xfId="12" xr:uid="{00000000-0005-0000-0000-00000B000000}"/>
    <cellStyle name="Procent" xfId="17" builtinId="5"/>
    <cellStyle name="Procent 2" xfId="13" xr:uid="{00000000-0005-0000-0000-00000C000000}"/>
    <cellStyle name="Procent 3" xfId="2" xr:uid="{00000000-0005-0000-0000-00000D000000}"/>
    <cellStyle name="Procent 4" xfId="14" xr:uid="{00000000-0005-0000-0000-00000E000000}"/>
    <cellStyle name="Tusental 2" xfId="15" xr:uid="{00000000-0005-0000-0000-00000F000000}"/>
    <cellStyle name="Valuta 2" xfId="16" xr:uid="{00000000-0005-0000-0000-000010000000}"/>
  </cellStyles>
  <dxfs count="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451777777777786E-2"/>
          <c:y val="0.10230555555555555"/>
          <c:w val="0.81449595655030149"/>
          <c:h val="0.8045494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Investeringskalkyl!$B$94</c:f>
              <c:strCache>
                <c:ptCount val="1"/>
                <c:pt idx="0">
                  <c:v>Investering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Investeringskalkyl!$D$93:$AH$93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Investeringskalkyl!$D$94</c:f>
              <c:numCache>
                <c:formatCode>#,##0</c:formatCode>
                <c:ptCount val="1"/>
                <c:pt idx="0">
                  <c:v>-450000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69A7-45FB-B2DE-D39A55BDD496}"/>
            </c:ext>
          </c:extLst>
        </c:ser>
        <c:ser>
          <c:idx val="1"/>
          <c:order val="1"/>
          <c:tx>
            <c:strRef>
              <c:f>Investeringskalkyl!$B$95</c:f>
              <c:strCache>
                <c:ptCount val="1"/>
                <c:pt idx="0">
                  <c:v>Kassaflöde per år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Investeringskalkyl!$D$93:$AH$93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Investeringskalkyl!$D$95:$AH$95</c:f>
              <c:numCache>
                <c:formatCode>#,##0</c:formatCode>
                <c:ptCount val="31"/>
                <c:pt idx="1">
                  <c:v>-112000</c:v>
                </c:pt>
                <c:pt idx="2">
                  <c:v>-127780</c:v>
                </c:pt>
                <c:pt idx="3">
                  <c:v>1417.2000000000116</c:v>
                </c:pt>
                <c:pt idx="4">
                  <c:v>-9409.0719999999856</c:v>
                </c:pt>
                <c:pt idx="5">
                  <c:v>67240.492079999996</c:v>
                </c:pt>
                <c:pt idx="6">
                  <c:v>51365.17980719998</c:v>
                </c:pt>
                <c:pt idx="7">
                  <c:v>50464.257625511993</c:v>
                </c:pt>
                <c:pt idx="8">
                  <c:v>117036.97022685528</c:v>
                </c:pt>
                <c:pt idx="9">
                  <c:v>116082.5399036904</c:v>
                </c:pt>
                <c:pt idx="10">
                  <c:v>115100.1658822312</c:v>
                </c:pt>
                <c:pt idx="11">
                  <c:v>114089.02363575681</c:v>
                </c:pt>
                <c:pt idx="12">
                  <c:v>114089.02363575681</c:v>
                </c:pt>
                <c:pt idx="13">
                  <c:v>114089.02363575681</c:v>
                </c:pt>
                <c:pt idx="14">
                  <c:v>114089.02363575681</c:v>
                </c:pt>
                <c:pt idx="15">
                  <c:v>114089.02363575681</c:v>
                </c:pt>
                <c:pt idx="16">
                  <c:v>113048.26417742934</c:v>
                </c:pt>
                <c:pt idx="17">
                  <c:v>113048.26417742934</c:v>
                </c:pt>
                <c:pt idx="18">
                  <c:v>113048.26417742934</c:v>
                </c:pt>
                <c:pt idx="19">
                  <c:v>113048.26417742934</c:v>
                </c:pt>
                <c:pt idx="20">
                  <c:v>113048.26417742934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A7-45FB-B2DE-D39A55BDD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6740832"/>
        <c:axId val="1096738536"/>
      </c:barChart>
      <c:lineChart>
        <c:grouping val="standard"/>
        <c:varyColors val="0"/>
        <c:ser>
          <c:idx val="2"/>
          <c:order val="2"/>
          <c:tx>
            <c:strRef>
              <c:f>Investeringskalkyl!$B$97</c:f>
              <c:strCache>
                <c:ptCount val="1"/>
                <c:pt idx="0">
                  <c:v>Kassaflöde (ack.)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Investeringskalkyl!$D$93:$AH$93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Investeringskalkyl!$D$97:$AH$97</c:f>
              <c:numCache>
                <c:formatCode>#,##0</c:formatCode>
                <c:ptCount val="31"/>
                <c:pt idx="0">
                  <c:v>-450000</c:v>
                </c:pt>
                <c:pt idx="1">
                  <c:v>-562000</c:v>
                </c:pt>
                <c:pt idx="2">
                  <c:v>-689780</c:v>
                </c:pt>
                <c:pt idx="3">
                  <c:v>-688362.8</c:v>
                </c:pt>
                <c:pt idx="4">
                  <c:v>-697771.87199999997</c:v>
                </c:pt>
                <c:pt idx="5">
                  <c:v>-630531.37991999998</c:v>
                </c:pt>
                <c:pt idx="6">
                  <c:v>-579166.2001128</c:v>
                </c:pt>
                <c:pt idx="7">
                  <c:v>-528701.94248728803</c:v>
                </c:pt>
                <c:pt idx="8">
                  <c:v>-411664.97226043278</c:v>
                </c:pt>
                <c:pt idx="9">
                  <c:v>-295582.43235674239</c:v>
                </c:pt>
                <c:pt idx="10">
                  <c:v>-180482.26647451118</c:v>
                </c:pt>
                <c:pt idx="11">
                  <c:v>-66393.242838754377</c:v>
                </c:pt>
                <c:pt idx="12">
                  <c:v>47695.78079700243</c:v>
                </c:pt>
                <c:pt idx="13">
                  <c:v>161784.80443275924</c:v>
                </c:pt>
                <c:pt idx="14">
                  <c:v>275873.82806851604</c:v>
                </c:pt>
                <c:pt idx="15">
                  <c:v>389962.85170427285</c:v>
                </c:pt>
                <c:pt idx="16">
                  <c:v>503011.11588170216</c:v>
                </c:pt>
                <c:pt idx="17">
                  <c:v>616059.38005913154</c:v>
                </c:pt>
                <c:pt idx="18">
                  <c:v>729107.64423656091</c:v>
                </c:pt>
                <c:pt idx="19">
                  <c:v>842155.90841399028</c:v>
                </c:pt>
                <c:pt idx="20">
                  <c:v>955204.17259141966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9A7-45FB-B2DE-D39A55BDD496}"/>
            </c:ext>
          </c:extLst>
        </c:ser>
        <c:ser>
          <c:idx val="3"/>
          <c:order val="3"/>
          <c:tx>
            <c:strRef>
              <c:f>Investeringskalkyl!$B$98</c:f>
              <c:strCache>
                <c:ptCount val="1"/>
                <c:pt idx="0">
                  <c:v>Nettonuvärde (ack.)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Investeringskalkyl!$D$93:$AH$93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Investeringskalkyl!$D$98:$AH$98</c:f>
              <c:numCache>
                <c:formatCode>#,##0</c:formatCode>
                <c:ptCount val="31"/>
                <c:pt idx="0">
                  <c:v>-450000</c:v>
                </c:pt>
                <c:pt idx="1">
                  <c:v>-551818.18181818177</c:v>
                </c:pt>
                <c:pt idx="2">
                  <c:v>-657421.48760330572</c:v>
                </c:pt>
                <c:pt idx="3">
                  <c:v>-656356.72426746809</c:v>
                </c:pt>
                <c:pt idx="4">
                  <c:v>-662783.2470459668</c:v>
                </c:pt>
                <c:pt idx="5">
                  <c:v>-621032.19174050458</c:v>
                </c:pt>
                <c:pt idx="6">
                  <c:v>-592037.88682681543</c:v>
                </c:pt>
                <c:pt idx="7">
                  <c:v>-566141.74334579811</c:v>
                </c:pt>
                <c:pt idx="8">
                  <c:v>-511543.13297758339</c:v>
                </c:pt>
                <c:pt idx="9">
                  <c:v>-462312.80426979938</c:v>
                </c:pt>
                <c:pt idx="10">
                  <c:v>-417936.7077016792</c:v>
                </c:pt>
                <c:pt idx="11">
                  <c:v>-377949.20091955812</c:v>
                </c:pt>
                <c:pt idx="12">
                  <c:v>-341596.92202672071</c:v>
                </c:pt>
                <c:pt idx="13">
                  <c:v>-308549.39576050499</c:v>
                </c:pt>
                <c:pt idx="14">
                  <c:v>-278506.19006394513</c:v>
                </c:pt>
                <c:pt idx="15">
                  <c:v>-251194.18488525442</c:v>
                </c:pt>
                <c:pt idx="16">
                  <c:v>-226591.58884974406</c:v>
                </c:pt>
                <c:pt idx="17">
                  <c:v>-204225.59245382558</c:v>
                </c:pt>
                <c:pt idx="18">
                  <c:v>-183892.86845753604</c:v>
                </c:pt>
                <c:pt idx="19">
                  <c:v>-165408.57391545468</c:v>
                </c:pt>
                <c:pt idx="20">
                  <c:v>-148604.66978628974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9A7-45FB-B2DE-D39A55BDD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740832"/>
        <c:axId val="1096738536"/>
      </c:lineChart>
      <c:catAx>
        <c:axId val="1096740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254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6738536"/>
        <c:crosses val="autoZero"/>
        <c:auto val="1"/>
        <c:lblAlgn val="ctr"/>
        <c:lblOffset val="100"/>
        <c:noMultiLvlLbl val="0"/>
      </c:catAx>
      <c:valAx>
        <c:axId val="1096738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tkr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674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Nettonuvärde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Känslighetsanalys!$C$42</c:f>
              <c:strCache>
                <c:ptCount val="1"/>
                <c:pt idx="0">
                  <c:v>Grundkalkyl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Känslighetsanalys!$D$41:$AH$41</c:f>
              <c:strCache>
                <c:ptCount val="31"/>
                <c:pt idx="0">
                  <c:v>År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Känslighetsanalys!$D$42:$AH$42</c:f>
              <c:numCache>
                <c:formatCode>#,##0</c:formatCode>
                <c:ptCount val="31"/>
                <c:pt idx="0">
                  <c:v>-450000</c:v>
                </c:pt>
                <c:pt idx="1">
                  <c:v>-551818.18181818177</c:v>
                </c:pt>
                <c:pt idx="2">
                  <c:v>-657421.48760330572</c:v>
                </c:pt>
                <c:pt idx="3">
                  <c:v>-656356.72426746809</c:v>
                </c:pt>
                <c:pt idx="4">
                  <c:v>-662783.2470459668</c:v>
                </c:pt>
                <c:pt idx="5">
                  <c:v>-621032.19174050458</c:v>
                </c:pt>
                <c:pt idx="6">
                  <c:v>-592037.88682681543</c:v>
                </c:pt>
                <c:pt idx="7">
                  <c:v>-566141.74334579811</c:v>
                </c:pt>
                <c:pt idx="8">
                  <c:v>-511543.13297758339</c:v>
                </c:pt>
                <c:pt idx="9">
                  <c:v>-462312.80426979938</c:v>
                </c:pt>
                <c:pt idx="10">
                  <c:v>-417936.7077016792</c:v>
                </c:pt>
                <c:pt idx="11">
                  <c:v>-377949.20091955812</c:v>
                </c:pt>
                <c:pt idx="12">
                  <c:v>-341596.92202672071</c:v>
                </c:pt>
                <c:pt idx="13">
                  <c:v>-308549.39576050499</c:v>
                </c:pt>
                <c:pt idx="14">
                  <c:v>-278506.19006394513</c:v>
                </c:pt>
                <c:pt idx="15">
                  <c:v>-251194.18488525442</c:v>
                </c:pt>
                <c:pt idx="16">
                  <c:v>-226591.58884974406</c:v>
                </c:pt>
                <c:pt idx="17">
                  <c:v>-204225.59245382558</c:v>
                </c:pt>
                <c:pt idx="18">
                  <c:v>-183892.86845753604</c:v>
                </c:pt>
                <c:pt idx="19">
                  <c:v>-165408.57391545468</c:v>
                </c:pt>
                <c:pt idx="20">
                  <c:v>-148604.66978628974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603-427C-B595-3E5082DB5FE6}"/>
            </c:ext>
          </c:extLst>
        </c:ser>
        <c:ser>
          <c:idx val="1"/>
          <c:order val="1"/>
          <c:tx>
            <c:strRef>
              <c:f>Känslighetsanalys!$C$43</c:f>
              <c:strCache>
                <c:ptCount val="1"/>
                <c:pt idx="0">
                  <c:v>Investering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Känslighetsanalys!$D$41:$AH$41</c:f>
              <c:strCache>
                <c:ptCount val="31"/>
                <c:pt idx="0">
                  <c:v>År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Känslighetsanalys!$D$43:$AH$43</c:f>
              <c:numCache>
                <c:formatCode>#,##0</c:formatCode>
                <c:ptCount val="31"/>
                <c:pt idx="0">
                  <c:v>-562500</c:v>
                </c:pt>
                <c:pt idx="1">
                  <c:v>-664318.18181818177</c:v>
                </c:pt>
                <c:pt idx="2">
                  <c:v>-769921.48760330572</c:v>
                </c:pt>
                <c:pt idx="3">
                  <c:v>-768856.72426746809</c:v>
                </c:pt>
                <c:pt idx="4">
                  <c:v>-775283.2470459668</c:v>
                </c:pt>
                <c:pt idx="5">
                  <c:v>-733532.19174050458</c:v>
                </c:pt>
                <c:pt idx="6">
                  <c:v>-704537.88682681543</c:v>
                </c:pt>
                <c:pt idx="7">
                  <c:v>-678641.74334579811</c:v>
                </c:pt>
                <c:pt idx="8">
                  <c:v>-624043.13297758333</c:v>
                </c:pt>
                <c:pt idx="9">
                  <c:v>-574812.80426979938</c:v>
                </c:pt>
                <c:pt idx="10">
                  <c:v>-530436.7077016792</c:v>
                </c:pt>
                <c:pt idx="11">
                  <c:v>-490449.20091955812</c:v>
                </c:pt>
                <c:pt idx="12">
                  <c:v>-454096.92202672071</c:v>
                </c:pt>
                <c:pt idx="13">
                  <c:v>-421049.39576050499</c:v>
                </c:pt>
                <c:pt idx="14">
                  <c:v>-391006.19006394513</c:v>
                </c:pt>
                <c:pt idx="15">
                  <c:v>-363694.18488525442</c:v>
                </c:pt>
                <c:pt idx="16">
                  <c:v>-339091.58884974406</c:v>
                </c:pt>
                <c:pt idx="17">
                  <c:v>-316725.59245382558</c:v>
                </c:pt>
                <c:pt idx="18">
                  <c:v>-296392.86845753604</c:v>
                </c:pt>
                <c:pt idx="19">
                  <c:v>-277908.57391545468</c:v>
                </c:pt>
                <c:pt idx="20">
                  <c:v>-261104.66978628974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603-427C-B595-3E5082DB5FE6}"/>
            </c:ext>
          </c:extLst>
        </c:ser>
        <c:ser>
          <c:idx val="2"/>
          <c:order val="2"/>
          <c:tx>
            <c:strRef>
              <c:f>Känslighetsanalys!$C$44</c:f>
              <c:strCache>
                <c:ptCount val="1"/>
                <c:pt idx="0">
                  <c:v>Intäkt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Känslighetsanalys!$D$41:$AH$41</c:f>
              <c:strCache>
                <c:ptCount val="31"/>
                <c:pt idx="0">
                  <c:v>År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Känslighetsanalys!$D$44:$AH$44</c:f>
              <c:numCache>
                <c:formatCode>#,##0</c:formatCode>
                <c:ptCount val="31"/>
                <c:pt idx="0">
                  <c:v>-450000</c:v>
                </c:pt>
                <c:pt idx="1">
                  <c:v>-552954.54545454541</c:v>
                </c:pt>
                <c:pt idx="2">
                  <c:v>-659590.90909090906</c:v>
                </c:pt>
                <c:pt idx="3">
                  <c:v>-686700.45078888047</c:v>
                </c:pt>
                <c:pt idx="4">
                  <c:v>-718739.97814356931</c:v>
                </c:pt>
                <c:pt idx="5">
                  <c:v>-712303.82308709668</c:v>
                </c:pt>
                <c:pt idx="6">
                  <c:v>-715413.97294521611</c:v>
                </c:pt>
                <c:pt idx="7">
                  <c:v>-718703.69743857021</c:v>
                </c:pt>
                <c:pt idx="8">
                  <c:v>-698510.00636082329</c:v>
                </c:pt>
                <c:pt idx="9">
                  <c:v>-680556.87700800993</c:v>
                </c:pt>
                <c:pt idx="10">
                  <c:v>-664614.59803531785</c:v>
                </c:pt>
                <c:pt idx="11">
                  <c:v>-650476.01633994933</c:v>
                </c:pt>
                <c:pt idx="12">
                  <c:v>-637622.76025325072</c:v>
                </c:pt>
                <c:pt idx="13">
                  <c:v>-625937.98199261562</c:v>
                </c:pt>
                <c:pt idx="14">
                  <c:v>-615315.45630112919</c:v>
                </c:pt>
                <c:pt idx="15">
                  <c:v>-605658.61476341425</c:v>
                </c:pt>
                <c:pt idx="16">
                  <c:v>-597106.1674924274</c:v>
                </c:pt>
                <c:pt idx="17">
                  <c:v>-589331.21542789391</c:v>
                </c:pt>
                <c:pt idx="18">
                  <c:v>-582263.07718740881</c:v>
                </c:pt>
                <c:pt idx="19">
                  <c:v>-575837.49696878612</c:v>
                </c:pt>
                <c:pt idx="20">
                  <c:v>-569996.06040640175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603-427C-B595-3E5082DB5FE6}"/>
            </c:ext>
          </c:extLst>
        </c:ser>
        <c:ser>
          <c:idx val="3"/>
          <c:order val="3"/>
          <c:tx>
            <c:strRef>
              <c:f>Känslighetsanalys!$C$45</c:f>
              <c:strCache>
                <c:ptCount val="1"/>
                <c:pt idx="0">
                  <c:v>Kostnad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Känslighetsanalys!$D$41:$AH$41</c:f>
              <c:strCache>
                <c:ptCount val="31"/>
                <c:pt idx="0">
                  <c:v>År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Känslighetsanalys!$D$45:$AH$45</c:f>
              <c:numCache>
                <c:formatCode>#,##0</c:formatCode>
                <c:ptCount val="31"/>
                <c:pt idx="0">
                  <c:v>-450000</c:v>
                </c:pt>
                <c:pt idx="1">
                  <c:v>-578409.09090909094</c:v>
                </c:pt>
                <c:pt idx="2">
                  <c:v>-711446.28099173552</c:v>
                </c:pt>
                <c:pt idx="3">
                  <c:v>-738289.63185574743</c:v>
                </c:pt>
                <c:pt idx="4">
                  <c:v>-771935.78990506101</c:v>
                </c:pt>
                <c:pt idx="5">
                  <c:v>-755061.8710222228</c:v>
                </c:pt>
                <c:pt idx="6">
                  <c:v>-750923.44465191988</c:v>
                </c:pt>
                <c:pt idx="7">
                  <c:v>-747739.1332750197</c:v>
                </c:pt>
                <c:pt idx="8">
                  <c:v>-713895.78960521915</c:v>
                </c:pt>
                <c:pt idx="9">
                  <c:v>-683635.07807545981</c:v>
                </c:pt>
                <c:pt idx="10">
                  <c:v>-656598.77496073756</c:v>
                </c:pt>
                <c:pt idx="11">
                  <c:v>-632463.31656983879</c:v>
                </c:pt>
                <c:pt idx="12">
                  <c:v>-610521.99075993092</c:v>
                </c:pt>
                <c:pt idx="13">
                  <c:v>-590575.33093274187</c:v>
                </c:pt>
                <c:pt idx="14">
                  <c:v>-572442.00381711544</c:v>
                </c:pt>
                <c:pt idx="15">
                  <c:v>-555957.1609847279</c:v>
                </c:pt>
                <c:pt idx="16">
                  <c:v>-541254.06470486335</c:v>
                </c:pt>
                <c:pt idx="17">
                  <c:v>-527887.61354135023</c:v>
                </c:pt>
                <c:pt idx="18">
                  <c:v>-515736.29430179275</c:v>
                </c:pt>
                <c:pt idx="19">
                  <c:v>-504689.64044764964</c:v>
                </c:pt>
                <c:pt idx="20">
                  <c:v>-494647.22785297409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603-427C-B595-3E5082DB5FE6}"/>
            </c:ext>
          </c:extLst>
        </c:ser>
        <c:ser>
          <c:idx val="4"/>
          <c:order val="4"/>
          <c:tx>
            <c:strRef>
              <c:f>Känslighetsanalys!$C$46</c:f>
              <c:strCache>
                <c:ptCount val="1"/>
                <c:pt idx="0">
                  <c:v>Variabel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Känslighetsanalys!$D$41:$AH$41</c:f>
              <c:strCache>
                <c:ptCount val="31"/>
                <c:pt idx="0">
                  <c:v>År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strCache>
            </c:strRef>
          </c:cat>
          <c:val>
            <c:numRef>
              <c:f>Känslighetsanalys!$D$46:$AH$46</c:f>
              <c:numCache>
                <c:formatCode>#,##0</c:formatCode>
                <c:ptCount val="31"/>
                <c:pt idx="0">
                  <c:v>-495000.00000000006</c:v>
                </c:pt>
                <c:pt idx="1">
                  <c:v>-607909.09090909094</c:v>
                </c:pt>
                <c:pt idx="2">
                  <c:v>-724899.17355371907</c:v>
                </c:pt>
                <c:pt idx="3">
                  <c:v>-746267.37791134487</c:v>
                </c:pt>
                <c:pt idx="4">
                  <c:v>-773826.95662864554</c:v>
                </c:pt>
                <c:pt idx="5">
                  <c:v>-756152.71599182871</c:v>
                </c:pt>
                <c:pt idx="6">
                  <c:v>-749942.54440421762</c:v>
                </c:pt>
                <c:pt idx="7">
                  <c:v>-744805.48095459573</c:v>
                </c:pt>
                <c:pt idx="8">
                  <c:v>-712270.94498193369</c:v>
                </c:pt>
                <c:pt idx="9">
                  <c:v>-683139.34288734791</c:v>
                </c:pt>
                <c:pt idx="10">
                  <c:v>-657072.69073875807</c:v>
                </c:pt>
                <c:pt idx="11">
                  <c:v>-633765.57334782695</c:v>
                </c:pt>
                <c:pt idx="12">
                  <c:v>-612577.28481061687</c:v>
                </c:pt>
                <c:pt idx="13">
                  <c:v>-593315.20432224416</c:v>
                </c:pt>
                <c:pt idx="14">
                  <c:v>-575804.22206008702</c:v>
                </c:pt>
                <c:pt idx="15">
                  <c:v>-559885.14727630792</c:v>
                </c:pt>
                <c:pt idx="16">
                  <c:v>-545662.41064886528</c:v>
                </c:pt>
                <c:pt idx="17">
                  <c:v>-532732.6500784629</c:v>
                </c:pt>
                <c:pt idx="18">
                  <c:v>-520978.32228718797</c:v>
                </c:pt>
                <c:pt idx="19">
                  <c:v>-510292.56974966533</c:v>
                </c:pt>
                <c:pt idx="20">
                  <c:v>-500578.2492610084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1603-427C-B595-3E5082DB5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650584"/>
        <c:axId val="597650912"/>
      </c:lineChart>
      <c:catAx>
        <c:axId val="59765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650912"/>
        <c:crosses val="autoZero"/>
        <c:auto val="1"/>
        <c:lblAlgn val="ctr"/>
        <c:lblOffset val="100"/>
        <c:noMultiLvlLbl val="0"/>
      </c:catAx>
      <c:valAx>
        <c:axId val="59765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tkr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650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1409701</xdr:colOff>
      <xdr:row>44</xdr:row>
      <xdr:rowOff>57150</xdr:rowOff>
    </xdr:from>
    <xdr:to>
      <xdr:col>20</xdr:col>
      <xdr:colOff>276226</xdr:colOff>
      <xdr:row>74</xdr:row>
      <xdr:rowOff>26832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149B1D1-D094-4D9F-9CC4-D392F8AFD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0</xdr:colOff>
      <xdr:row>35</xdr:row>
      <xdr:rowOff>0</xdr:rowOff>
    </xdr:from>
    <xdr:to>
      <xdr:col>22</xdr:col>
      <xdr:colOff>425450</xdr:colOff>
      <xdr:row>39</xdr:row>
      <xdr:rowOff>9445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A573612-D050-416E-8C6E-4BAE708B3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79136" y="6823364"/>
          <a:ext cx="1640898" cy="802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190499</xdr:rowOff>
    </xdr:from>
    <xdr:to>
      <xdr:col>9</xdr:col>
      <xdr:colOff>1034143</xdr:colOff>
      <xdr:row>35</xdr:row>
      <xdr:rowOff>13606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3E92B34-70E1-4093-98C8-A69137308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B0146-667C-4689-B4AB-8D12924AB255}">
  <dimension ref="A1:S28"/>
  <sheetViews>
    <sheetView topLeftCell="C1" workbookViewId="0">
      <selection activeCell="L32" sqref="L32"/>
    </sheetView>
  </sheetViews>
  <sheetFormatPr defaultRowHeight="14.45"/>
  <cols>
    <col min="1" max="1" width="3.85546875" customWidth="1"/>
    <col min="2" max="2" width="29.85546875" customWidth="1"/>
    <col min="3" max="3" width="51" customWidth="1"/>
    <col min="4" max="4" width="10.5703125" customWidth="1"/>
    <col min="5" max="5" width="22.85546875" customWidth="1"/>
    <col min="6" max="6" width="11.140625" customWidth="1"/>
    <col min="7" max="14" width="12.85546875" bestFit="1" customWidth="1"/>
    <col min="15" max="15" width="11.5703125" customWidth="1"/>
    <col min="16" max="16" width="10.5703125" customWidth="1"/>
    <col min="17" max="17" width="51" customWidth="1"/>
  </cols>
  <sheetData>
    <row r="1" spans="1:19">
      <c r="A1" s="199"/>
      <c r="B1" s="199"/>
      <c r="C1" s="199"/>
    </row>
    <row r="2" spans="1:19" ht="15.6">
      <c r="A2" s="199"/>
      <c r="B2" s="200" t="s">
        <v>0</v>
      </c>
      <c r="C2" s="201" t="s">
        <v>1</v>
      </c>
      <c r="E2" s="241" t="s">
        <v>2</v>
      </c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3"/>
    </row>
    <row r="3" spans="1:19" ht="15.6">
      <c r="A3" s="199"/>
      <c r="B3" s="202" t="s">
        <v>1</v>
      </c>
      <c r="C3" s="203" t="s">
        <v>1</v>
      </c>
      <c r="E3" s="244"/>
      <c r="F3" s="237" t="s">
        <v>3</v>
      </c>
      <c r="G3" s="237">
        <v>1</v>
      </c>
      <c r="H3" s="237">
        <v>2</v>
      </c>
      <c r="I3" s="237">
        <v>3</v>
      </c>
      <c r="J3" s="237">
        <v>4</v>
      </c>
      <c r="K3" s="237">
        <v>5</v>
      </c>
      <c r="L3" s="237">
        <v>6</v>
      </c>
      <c r="M3" s="237">
        <v>7</v>
      </c>
      <c r="N3" s="237">
        <v>8</v>
      </c>
      <c r="O3" s="237">
        <v>9</v>
      </c>
      <c r="P3" s="237">
        <v>10</v>
      </c>
      <c r="Q3" s="245"/>
    </row>
    <row r="4" spans="1:19" ht="15.6">
      <c r="A4" s="199"/>
      <c r="B4" s="202" t="s">
        <v>4</v>
      </c>
      <c r="C4" s="203" t="s">
        <v>5</v>
      </c>
      <c r="E4" s="246" t="s">
        <v>6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47" t="s">
        <v>7</v>
      </c>
    </row>
    <row r="5" spans="1:19" ht="15.6">
      <c r="A5" s="199"/>
      <c r="B5" s="202" t="s">
        <v>8</v>
      </c>
      <c r="C5" s="203" t="s">
        <v>9</v>
      </c>
      <c r="E5" s="248" t="s">
        <v>10</v>
      </c>
      <c r="F5" s="236" t="s">
        <v>11</v>
      </c>
      <c r="G5" s="239">
        <f>20*1200</f>
        <v>24000</v>
      </c>
      <c r="H5" s="239">
        <f>G5*1.03</f>
        <v>24720</v>
      </c>
      <c r="I5" s="239">
        <f t="shared" ref="I5:P5" si="0">H5*1.03</f>
        <v>25461.600000000002</v>
      </c>
      <c r="J5" s="239">
        <f t="shared" si="0"/>
        <v>26225.448000000004</v>
      </c>
      <c r="K5" s="239">
        <f t="shared" si="0"/>
        <v>27012.211440000006</v>
      </c>
      <c r="L5" s="239">
        <f t="shared" si="0"/>
        <v>27822.577783200006</v>
      </c>
      <c r="M5" s="239">
        <f t="shared" si="0"/>
        <v>28657.255116696007</v>
      </c>
      <c r="N5" s="239">
        <f t="shared" si="0"/>
        <v>29516.972770196888</v>
      </c>
      <c r="O5" s="239">
        <f t="shared" si="0"/>
        <v>30402.481953302795</v>
      </c>
      <c r="P5" s="239">
        <f t="shared" si="0"/>
        <v>31314.556411901878</v>
      </c>
      <c r="Q5" s="245" t="s">
        <v>12</v>
      </c>
    </row>
    <row r="6" spans="1:19" ht="29.1">
      <c r="A6" s="199"/>
      <c r="B6" s="202" t="s">
        <v>13</v>
      </c>
      <c r="C6" s="203" t="s">
        <v>14</v>
      </c>
      <c r="E6" s="249" t="s">
        <v>15</v>
      </c>
      <c r="F6" s="236" t="s">
        <v>11</v>
      </c>
      <c r="G6" s="239">
        <v>35000</v>
      </c>
      <c r="H6" s="239">
        <v>50000</v>
      </c>
      <c r="I6" s="239">
        <v>65000</v>
      </c>
      <c r="J6" s="239">
        <v>75000</v>
      </c>
      <c r="K6" s="239">
        <v>75000</v>
      </c>
      <c r="L6" s="239">
        <v>75000</v>
      </c>
      <c r="M6" s="239">
        <v>75000</v>
      </c>
      <c r="N6" s="239">
        <v>75000</v>
      </c>
      <c r="O6" s="239">
        <v>75000</v>
      </c>
      <c r="P6" s="239">
        <v>75000</v>
      </c>
      <c r="Q6" s="250"/>
    </row>
    <row r="7" spans="1:19" ht="34.5" customHeight="1">
      <c r="A7" s="199"/>
      <c r="B7" s="204" t="s">
        <v>16</v>
      </c>
      <c r="C7" s="203" t="s">
        <v>17</v>
      </c>
      <c r="E7" s="248" t="s">
        <v>18</v>
      </c>
      <c r="F7" s="236" t="s">
        <v>11</v>
      </c>
      <c r="G7" s="239">
        <v>3000</v>
      </c>
      <c r="H7" s="239">
        <f>G7*1.02</f>
        <v>3060</v>
      </c>
      <c r="I7" s="239">
        <f t="shared" ref="I7:P7" si="1">H7*1.02</f>
        <v>3121.2000000000003</v>
      </c>
      <c r="J7" s="239">
        <f t="shared" si="1"/>
        <v>3183.6240000000003</v>
      </c>
      <c r="K7" s="239">
        <f t="shared" si="1"/>
        <v>3247.2964800000004</v>
      </c>
      <c r="L7" s="239">
        <f t="shared" si="1"/>
        <v>3312.2424096000004</v>
      </c>
      <c r="M7" s="239">
        <f t="shared" si="1"/>
        <v>3378.4872577920005</v>
      </c>
      <c r="N7" s="239">
        <f t="shared" si="1"/>
        <v>3446.0570029478404</v>
      </c>
      <c r="O7" s="239">
        <f t="shared" si="1"/>
        <v>3514.9781430067974</v>
      </c>
      <c r="P7" s="239">
        <f t="shared" si="1"/>
        <v>3585.2777058669335</v>
      </c>
      <c r="Q7" s="245" t="s">
        <v>19</v>
      </c>
    </row>
    <row r="8" spans="1:19" ht="15.6">
      <c r="A8" s="199"/>
      <c r="B8" s="202" t="s">
        <v>20</v>
      </c>
      <c r="C8" s="203" t="s">
        <v>21</v>
      </c>
      <c r="E8" s="251" t="s">
        <v>22</v>
      </c>
      <c r="F8" s="236" t="s">
        <v>11</v>
      </c>
      <c r="G8" s="252">
        <f>3000*7.5*2</f>
        <v>45000</v>
      </c>
      <c r="H8" s="252">
        <f t="shared" ref="H8:P8" si="2">3000*10*1.5</f>
        <v>45000</v>
      </c>
      <c r="I8" s="252">
        <f t="shared" si="2"/>
        <v>45000</v>
      </c>
      <c r="J8" s="252">
        <f t="shared" si="2"/>
        <v>45000</v>
      </c>
      <c r="K8" s="252">
        <f t="shared" si="2"/>
        <v>45000</v>
      </c>
      <c r="L8" s="252">
        <f t="shared" si="2"/>
        <v>45000</v>
      </c>
      <c r="M8" s="252">
        <f t="shared" si="2"/>
        <v>45000</v>
      </c>
      <c r="N8" s="252">
        <f t="shared" si="2"/>
        <v>45000</v>
      </c>
      <c r="O8" s="252">
        <f t="shared" si="2"/>
        <v>45000</v>
      </c>
      <c r="P8" s="252">
        <f t="shared" si="2"/>
        <v>45000</v>
      </c>
      <c r="Q8" s="253" t="s">
        <v>23</v>
      </c>
    </row>
    <row r="9" spans="1:19" ht="24" customHeight="1">
      <c r="A9" s="199"/>
      <c r="B9" s="202" t="s">
        <v>24</v>
      </c>
      <c r="C9" s="203" t="s">
        <v>25</v>
      </c>
      <c r="E9" s="254" t="s">
        <v>26</v>
      </c>
      <c r="F9" s="255" t="s">
        <v>11</v>
      </c>
      <c r="G9" s="256">
        <f>500000*0.02</f>
        <v>10000</v>
      </c>
      <c r="H9" s="256">
        <f t="shared" ref="H9:K9" si="3">500000*0.02</f>
        <v>10000</v>
      </c>
      <c r="I9" s="256">
        <f t="shared" si="3"/>
        <v>10000</v>
      </c>
      <c r="J9" s="256">
        <f t="shared" si="3"/>
        <v>10000</v>
      </c>
      <c r="K9" s="256">
        <f t="shared" si="3"/>
        <v>10000</v>
      </c>
      <c r="L9" s="256">
        <f>500000*0.05</f>
        <v>25000</v>
      </c>
      <c r="M9" s="256">
        <f t="shared" ref="M9:P9" si="4">500000*0.05</f>
        <v>25000</v>
      </c>
      <c r="N9" s="256">
        <f t="shared" si="4"/>
        <v>25000</v>
      </c>
      <c r="O9" s="256">
        <f t="shared" si="4"/>
        <v>25000</v>
      </c>
      <c r="P9" s="256">
        <f t="shared" si="4"/>
        <v>25000</v>
      </c>
      <c r="Q9" s="257" t="s">
        <v>27</v>
      </c>
    </row>
    <row r="10" spans="1:19" ht="15.6">
      <c r="A10" s="199"/>
      <c r="B10" s="202" t="s">
        <v>28</v>
      </c>
      <c r="C10" s="203" t="s">
        <v>29</v>
      </c>
      <c r="E10" s="251" t="s">
        <v>30</v>
      </c>
      <c r="F10" s="236" t="s">
        <v>11</v>
      </c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45"/>
    </row>
    <row r="11" spans="1:19" ht="15.6">
      <c r="A11" s="199"/>
      <c r="B11" s="202" t="s">
        <v>31</v>
      </c>
      <c r="C11" s="203" t="s">
        <v>32</v>
      </c>
      <c r="E11" s="248" t="s">
        <v>33</v>
      </c>
      <c r="F11" s="236" t="s">
        <v>11</v>
      </c>
      <c r="G11" s="239">
        <f>SUM(G8:G10)</f>
        <v>55000</v>
      </c>
      <c r="H11" s="239">
        <f t="shared" ref="H11:P11" si="5">SUM(H8:H10)</f>
        <v>55000</v>
      </c>
      <c r="I11" s="239">
        <f t="shared" si="5"/>
        <v>55000</v>
      </c>
      <c r="J11" s="239">
        <f t="shared" si="5"/>
        <v>55000</v>
      </c>
      <c r="K11" s="239">
        <f t="shared" si="5"/>
        <v>55000</v>
      </c>
      <c r="L11" s="239">
        <f t="shared" si="5"/>
        <v>70000</v>
      </c>
      <c r="M11" s="239">
        <f t="shared" si="5"/>
        <v>70000</v>
      </c>
      <c r="N11" s="239">
        <f t="shared" si="5"/>
        <v>70000</v>
      </c>
      <c r="O11" s="239">
        <f t="shared" si="5"/>
        <v>70000</v>
      </c>
      <c r="P11" s="239">
        <f t="shared" si="5"/>
        <v>70000</v>
      </c>
      <c r="Q11" s="245"/>
    </row>
    <row r="12" spans="1:19" ht="15.6">
      <c r="A12" s="199"/>
      <c r="B12" s="202" t="s">
        <v>34</v>
      </c>
      <c r="C12" s="203" t="s">
        <v>35</v>
      </c>
      <c r="E12" s="244"/>
      <c r="F12" s="234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45"/>
      <c r="S12">
        <f>500*0.02</f>
        <v>10</v>
      </c>
    </row>
    <row r="13" spans="1:19" ht="24" customHeight="1">
      <c r="A13" s="199"/>
      <c r="B13" s="202" t="s">
        <v>36</v>
      </c>
      <c r="C13" s="205" t="s">
        <v>37</v>
      </c>
      <c r="E13" s="258" t="s">
        <v>38</v>
      </c>
      <c r="F13" s="238" t="s">
        <v>11</v>
      </c>
      <c r="G13" s="240">
        <f>SUM(G5:G10)</f>
        <v>117000</v>
      </c>
      <c r="H13" s="240">
        <f t="shared" ref="H13:P13" si="6">SUM(H5:H10)</f>
        <v>132780</v>
      </c>
      <c r="I13" s="240">
        <f t="shared" si="6"/>
        <v>148582.79999999999</v>
      </c>
      <c r="J13" s="240">
        <f t="shared" si="6"/>
        <v>159409.07199999999</v>
      </c>
      <c r="K13" s="240">
        <f t="shared" si="6"/>
        <v>160259.50792</v>
      </c>
      <c r="L13" s="240">
        <f t="shared" si="6"/>
        <v>176134.82019280002</v>
      </c>
      <c r="M13" s="240">
        <f t="shared" si="6"/>
        <v>177035.74237448801</v>
      </c>
      <c r="N13" s="240">
        <f t="shared" si="6"/>
        <v>177963.02977314472</v>
      </c>
      <c r="O13" s="240">
        <f t="shared" si="6"/>
        <v>178917.4600963096</v>
      </c>
      <c r="P13" s="240">
        <f t="shared" si="6"/>
        <v>179899.8341177688</v>
      </c>
      <c r="Q13" s="245"/>
    </row>
    <row r="14" spans="1:19" ht="15.6">
      <c r="A14" s="199"/>
      <c r="B14" s="202" t="s">
        <v>39</v>
      </c>
      <c r="C14" s="203" t="s">
        <v>40</v>
      </c>
      <c r="E14" s="259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1"/>
    </row>
    <row r="15" spans="1:19" ht="15.6">
      <c r="A15" s="199"/>
      <c r="B15" s="206" t="s">
        <v>41</v>
      </c>
      <c r="C15" s="207" t="s">
        <v>42</v>
      </c>
    </row>
    <row r="18" spans="3:17" ht="15" thickBot="1">
      <c r="C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</row>
    <row r="19" spans="3:17">
      <c r="C19" s="214" t="s">
        <v>43</v>
      </c>
      <c r="D19" s="228" t="s">
        <v>3</v>
      </c>
      <c r="E19" s="229">
        <v>1</v>
      </c>
      <c r="F19" s="229">
        <v>2</v>
      </c>
      <c r="G19" s="229">
        <v>3</v>
      </c>
      <c r="H19" s="229">
        <v>4</v>
      </c>
      <c r="I19" s="229">
        <v>5</v>
      </c>
      <c r="J19" s="229">
        <v>6</v>
      </c>
      <c r="K19" s="229">
        <v>7</v>
      </c>
      <c r="L19" s="229">
        <v>8</v>
      </c>
      <c r="M19" s="229">
        <v>9</v>
      </c>
      <c r="N19" s="229">
        <v>10</v>
      </c>
      <c r="O19" s="230" t="s">
        <v>44</v>
      </c>
      <c r="P19" s="229" t="s">
        <v>45</v>
      </c>
      <c r="Q19" s="215"/>
    </row>
    <row r="20" spans="3:17">
      <c r="C20" s="216" t="s">
        <v>46</v>
      </c>
      <c r="D20" s="212" t="s">
        <v>47</v>
      </c>
      <c r="E20" s="224">
        <v>0</v>
      </c>
      <c r="F20" s="224">
        <v>0</v>
      </c>
      <c r="G20" s="224">
        <v>0.5</v>
      </c>
      <c r="H20" s="224">
        <v>0.5</v>
      </c>
      <c r="I20" s="224">
        <v>0.75</v>
      </c>
      <c r="J20" s="224">
        <v>0.75</v>
      </c>
      <c r="K20" s="224">
        <v>0.75</v>
      </c>
      <c r="L20" s="224">
        <v>1</v>
      </c>
      <c r="M20" s="224">
        <v>1</v>
      </c>
      <c r="N20" s="224">
        <v>1</v>
      </c>
      <c r="O20" s="224">
        <v>1</v>
      </c>
      <c r="P20" s="225">
        <v>1</v>
      </c>
      <c r="Q20" s="217"/>
    </row>
    <row r="21" spans="3:17">
      <c r="C21" s="216" t="s">
        <v>48</v>
      </c>
      <c r="D21" s="212" t="s">
        <v>47</v>
      </c>
      <c r="E21" s="224">
        <v>2</v>
      </c>
      <c r="F21" s="224">
        <v>2</v>
      </c>
      <c r="G21" s="224">
        <v>2</v>
      </c>
      <c r="H21" s="224">
        <v>2</v>
      </c>
      <c r="I21" s="224">
        <v>2</v>
      </c>
      <c r="J21" s="224">
        <v>2</v>
      </c>
      <c r="K21" s="224">
        <v>2</v>
      </c>
      <c r="L21" s="224">
        <v>2</v>
      </c>
      <c r="M21" s="224">
        <v>2</v>
      </c>
      <c r="N21" s="224">
        <v>2</v>
      </c>
      <c r="O21" s="224">
        <v>2</v>
      </c>
      <c r="P21" s="224">
        <v>2</v>
      </c>
      <c r="Q21" s="217"/>
    </row>
    <row r="22" spans="3:17" ht="29.1">
      <c r="C22" s="216" t="s">
        <v>49</v>
      </c>
      <c r="D22" s="233" t="s">
        <v>50</v>
      </c>
      <c r="E22" s="224">
        <v>100</v>
      </c>
      <c r="F22" s="231">
        <f>E22*1.02</f>
        <v>102</v>
      </c>
      <c r="G22" s="231">
        <f t="shared" ref="G22:P22" si="7">F22*1.02</f>
        <v>104.04</v>
      </c>
      <c r="H22" s="231">
        <f t="shared" si="7"/>
        <v>106.1208</v>
      </c>
      <c r="I22" s="231">
        <f t="shared" si="7"/>
        <v>108.243216</v>
      </c>
      <c r="J22" s="231">
        <f t="shared" si="7"/>
        <v>110.40808032000001</v>
      </c>
      <c r="K22" s="231">
        <f t="shared" si="7"/>
        <v>112.61624192640001</v>
      </c>
      <c r="L22" s="231">
        <f t="shared" si="7"/>
        <v>114.868566764928</v>
      </c>
      <c r="M22" s="231">
        <f t="shared" si="7"/>
        <v>117.16593810022657</v>
      </c>
      <c r="N22" s="231">
        <f t="shared" si="7"/>
        <v>119.5092568622311</v>
      </c>
      <c r="O22" s="231">
        <f t="shared" si="7"/>
        <v>121.89944199947573</v>
      </c>
      <c r="P22" s="231">
        <f t="shared" si="7"/>
        <v>124.33743083946524</v>
      </c>
      <c r="Q22" s="217"/>
    </row>
    <row r="23" spans="3:17" ht="44.45" customHeight="1">
      <c r="C23" s="216" t="s">
        <v>51</v>
      </c>
      <c r="D23" s="212" t="s">
        <v>11</v>
      </c>
      <c r="E23" s="226">
        <f>E22*$D$28*E20</f>
        <v>0</v>
      </c>
      <c r="F23" s="226">
        <f>F22*$D$28*F20</f>
        <v>0</v>
      </c>
      <c r="G23" s="226">
        <f>G22*$D$28*G20</f>
        <v>140454</v>
      </c>
      <c r="H23" s="226">
        <f t="shared" ref="H23:P23" si="8">H22*$D$28*H20</f>
        <v>143263.08000000002</v>
      </c>
      <c r="I23" s="226">
        <f t="shared" si="8"/>
        <v>219192.51240000001</v>
      </c>
      <c r="J23" s="226">
        <f t="shared" si="8"/>
        <v>223576.36264800004</v>
      </c>
      <c r="K23" s="226">
        <f t="shared" si="8"/>
        <v>228047.88990096</v>
      </c>
      <c r="L23" s="226">
        <f t="shared" si="8"/>
        <v>310145.13026530563</v>
      </c>
      <c r="M23" s="226">
        <f t="shared" si="8"/>
        <v>316348.03287061176</v>
      </c>
      <c r="N23" s="226">
        <f t="shared" si="8"/>
        <v>322674.99352802394</v>
      </c>
      <c r="O23" s="226">
        <f t="shared" si="8"/>
        <v>329128.49339858448</v>
      </c>
      <c r="P23" s="226">
        <f t="shared" si="8"/>
        <v>335711.06326655613</v>
      </c>
      <c r="Q23" s="218" t="s">
        <v>52</v>
      </c>
    </row>
    <row r="24" spans="3:17">
      <c r="C24" s="216"/>
      <c r="D24" s="212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17"/>
    </row>
    <row r="25" spans="3:17">
      <c r="C25" s="219" t="s">
        <v>53</v>
      </c>
      <c r="D25" s="213" t="s">
        <v>11</v>
      </c>
      <c r="E25" s="227">
        <f>E23+E24</f>
        <v>0</v>
      </c>
      <c r="F25" s="227">
        <f t="shared" ref="F25:P25" si="9">F23+F24</f>
        <v>0</v>
      </c>
      <c r="G25" s="227">
        <f t="shared" si="9"/>
        <v>140454</v>
      </c>
      <c r="H25" s="227">
        <f t="shared" si="9"/>
        <v>143263.08000000002</v>
      </c>
      <c r="I25" s="227">
        <f t="shared" si="9"/>
        <v>219192.51240000001</v>
      </c>
      <c r="J25" s="227">
        <f t="shared" si="9"/>
        <v>223576.36264800004</v>
      </c>
      <c r="K25" s="227">
        <f t="shared" si="9"/>
        <v>228047.88990096</v>
      </c>
      <c r="L25" s="227">
        <f t="shared" si="9"/>
        <v>310145.13026530563</v>
      </c>
      <c r="M25" s="227">
        <f t="shared" si="9"/>
        <v>316348.03287061176</v>
      </c>
      <c r="N25" s="227">
        <f t="shared" si="9"/>
        <v>322674.99352802394</v>
      </c>
      <c r="O25" s="227">
        <f t="shared" si="9"/>
        <v>329128.49339858448</v>
      </c>
      <c r="P25" s="227">
        <f t="shared" si="9"/>
        <v>335711.06326655613</v>
      </c>
      <c r="Q25" s="217"/>
    </row>
    <row r="26" spans="3:17">
      <c r="C26" s="219"/>
      <c r="D26" s="210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7"/>
    </row>
    <row r="27" spans="3:17">
      <c r="C27" s="216" t="s">
        <v>54</v>
      </c>
      <c r="D27" s="210">
        <v>100</v>
      </c>
      <c r="E27" s="208" t="s">
        <v>55</v>
      </c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9"/>
      <c r="Q27" s="217"/>
    </row>
    <row r="28" spans="3:17" ht="15" thickBot="1">
      <c r="C28" s="220" t="s">
        <v>56</v>
      </c>
      <c r="D28" s="221">
        <v>2700</v>
      </c>
      <c r="E28" s="221" t="s">
        <v>57</v>
      </c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2"/>
      <c r="Q28" s="2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D093C-EA78-4019-A045-CAFC483CDB0E}">
  <sheetPr>
    <tabColor theme="4"/>
    <pageSetUpPr fitToPage="1"/>
  </sheetPr>
  <dimension ref="A1:AP162"/>
  <sheetViews>
    <sheetView showGridLines="0" tabSelected="1" zoomScale="90" zoomScaleNormal="90" workbookViewId="0">
      <selection activeCell="Y49" sqref="Y49"/>
    </sheetView>
  </sheetViews>
  <sheetFormatPr defaultRowHeight="14.45" outlineLevelRow="1"/>
  <cols>
    <col min="1" max="2" width="5.7109375" style="1" customWidth="1"/>
    <col min="3" max="3" width="31.5703125" style="1" customWidth="1"/>
    <col min="4" max="5" width="9.140625" style="1" customWidth="1"/>
    <col min="6" max="10" width="9.140625" style="1"/>
    <col min="11" max="13" width="9.140625" style="1" customWidth="1"/>
    <col min="14" max="28" width="9.140625" style="1"/>
    <col min="29" max="34" width="9.140625" style="1" customWidth="1"/>
    <col min="35" max="35" width="9.5703125" style="128" customWidth="1"/>
    <col min="36" max="42" width="5.7109375" style="1" customWidth="1"/>
    <col min="43" max="43" width="9.140625" style="1" customWidth="1"/>
    <col min="44" max="252" width="9.140625" style="1"/>
    <col min="253" max="253" width="32.28515625" style="1" customWidth="1"/>
    <col min="254" max="254" width="12" style="1" customWidth="1"/>
    <col min="255" max="269" width="10.7109375" style="1" customWidth="1"/>
    <col min="270" max="508" width="9.140625" style="1"/>
    <col min="509" max="509" width="32.28515625" style="1" customWidth="1"/>
    <col min="510" max="510" width="12" style="1" customWidth="1"/>
    <col min="511" max="525" width="10.7109375" style="1" customWidth="1"/>
    <col min="526" max="764" width="9.140625" style="1"/>
    <col min="765" max="765" width="32.28515625" style="1" customWidth="1"/>
    <col min="766" max="766" width="12" style="1" customWidth="1"/>
    <col min="767" max="781" width="10.7109375" style="1" customWidth="1"/>
    <col min="782" max="1020" width="9.140625" style="1"/>
    <col min="1021" max="1021" width="32.28515625" style="1" customWidth="1"/>
    <col min="1022" max="1022" width="12" style="1" customWidth="1"/>
    <col min="1023" max="1037" width="10.7109375" style="1" customWidth="1"/>
    <col min="1038" max="1276" width="9.140625" style="1"/>
    <col min="1277" max="1277" width="32.28515625" style="1" customWidth="1"/>
    <col min="1278" max="1278" width="12" style="1" customWidth="1"/>
    <col min="1279" max="1293" width="10.7109375" style="1" customWidth="1"/>
    <col min="1294" max="1532" width="9.140625" style="1"/>
    <col min="1533" max="1533" width="32.28515625" style="1" customWidth="1"/>
    <col min="1534" max="1534" width="12" style="1" customWidth="1"/>
    <col min="1535" max="1549" width="10.7109375" style="1" customWidth="1"/>
    <col min="1550" max="1788" width="9.140625" style="1"/>
    <col min="1789" max="1789" width="32.28515625" style="1" customWidth="1"/>
    <col min="1790" max="1790" width="12" style="1" customWidth="1"/>
    <col min="1791" max="1805" width="10.7109375" style="1" customWidth="1"/>
    <col min="1806" max="2044" width="9.140625" style="1"/>
    <col min="2045" max="2045" width="32.28515625" style="1" customWidth="1"/>
    <col min="2046" max="2046" width="12" style="1" customWidth="1"/>
    <col min="2047" max="2061" width="10.7109375" style="1" customWidth="1"/>
    <col min="2062" max="2300" width="9.140625" style="1"/>
    <col min="2301" max="2301" width="32.28515625" style="1" customWidth="1"/>
    <col min="2302" max="2302" width="12" style="1" customWidth="1"/>
    <col min="2303" max="2317" width="10.7109375" style="1" customWidth="1"/>
    <col min="2318" max="2556" width="9.140625" style="1"/>
    <col min="2557" max="2557" width="32.28515625" style="1" customWidth="1"/>
    <col min="2558" max="2558" width="12" style="1" customWidth="1"/>
    <col min="2559" max="2573" width="10.7109375" style="1" customWidth="1"/>
    <col min="2574" max="2812" width="9.140625" style="1"/>
    <col min="2813" max="2813" width="32.28515625" style="1" customWidth="1"/>
    <col min="2814" max="2814" width="12" style="1" customWidth="1"/>
    <col min="2815" max="2829" width="10.7109375" style="1" customWidth="1"/>
    <col min="2830" max="3068" width="9.140625" style="1"/>
    <col min="3069" max="3069" width="32.28515625" style="1" customWidth="1"/>
    <col min="3070" max="3070" width="12" style="1" customWidth="1"/>
    <col min="3071" max="3085" width="10.7109375" style="1" customWidth="1"/>
    <col min="3086" max="3324" width="9.140625" style="1"/>
    <col min="3325" max="3325" width="32.28515625" style="1" customWidth="1"/>
    <col min="3326" max="3326" width="12" style="1" customWidth="1"/>
    <col min="3327" max="3341" width="10.7109375" style="1" customWidth="1"/>
    <col min="3342" max="3580" width="9.140625" style="1"/>
    <col min="3581" max="3581" width="32.28515625" style="1" customWidth="1"/>
    <col min="3582" max="3582" width="12" style="1" customWidth="1"/>
    <col min="3583" max="3597" width="10.7109375" style="1" customWidth="1"/>
    <col min="3598" max="3836" width="9.140625" style="1"/>
    <col min="3837" max="3837" width="32.28515625" style="1" customWidth="1"/>
    <col min="3838" max="3838" width="12" style="1" customWidth="1"/>
    <col min="3839" max="3853" width="10.7109375" style="1" customWidth="1"/>
    <col min="3854" max="4092" width="9.140625" style="1"/>
    <col min="4093" max="4093" width="32.28515625" style="1" customWidth="1"/>
    <col min="4094" max="4094" width="12" style="1" customWidth="1"/>
    <col min="4095" max="4109" width="10.7109375" style="1" customWidth="1"/>
    <col min="4110" max="4348" width="9.140625" style="1"/>
    <col min="4349" max="4349" width="32.28515625" style="1" customWidth="1"/>
    <col min="4350" max="4350" width="12" style="1" customWidth="1"/>
    <col min="4351" max="4365" width="10.7109375" style="1" customWidth="1"/>
    <col min="4366" max="4604" width="9.140625" style="1"/>
    <col min="4605" max="4605" width="32.28515625" style="1" customWidth="1"/>
    <col min="4606" max="4606" width="12" style="1" customWidth="1"/>
    <col min="4607" max="4621" width="10.7109375" style="1" customWidth="1"/>
    <col min="4622" max="4860" width="9.140625" style="1"/>
    <col min="4861" max="4861" width="32.28515625" style="1" customWidth="1"/>
    <col min="4862" max="4862" width="12" style="1" customWidth="1"/>
    <col min="4863" max="4877" width="10.7109375" style="1" customWidth="1"/>
    <col min="4878" max="5116" width="9.140625" style="1"/>
    <col min="5117" max="5117" width="32.28515625" style="1" customWidth="1"/>
    <col min="5118" max="5118" width="12" style="1" customWidth="1"/>
    <col min="5119" max="5133" width="10.7109375" style="1" customWidth="1"/>
    <col min="5134" max="5372" width="9.140625" style="1"/>
    <col min="5373" max="5373" width="32.28515625" style="1" customWidth="1"/>
    <col min="5374" max="5374" width="12" style="1" customWidth="1"/>
    <col min="5375" max="5389" width="10.7109375" style="1" customWidth="1"/>
    <col min="5390" max="5628" width="9.140625" style="1"/>
    <col min="5629" max="5629" width="32.28515625" style="1" customWidth="1"/>
    <col min="5630" max="5630" width="12" style="1" customWidth="1"/>
    <col min="5631" max="5645" width="10.7109375" style="1" customWidth="1"/>
    <col min="5646" max="5884" width="9.140625" style="1"/>
    <col min="5885" max="5885" width="32.28515625" style="1" customWidth="1"/>
    <col min="5886" max="5886" width="12" style="1" customWidth="1"/>
    <col min="5887" max="5901" width="10.7109375" style="1" customWidth="1"/>
    <col min="5902" max="6140" width="9.140625" style="1"/>
    <col min="6141" max="6141" width="32.28515625" style="1" customWidth="1"/>
    <col min="6142" max="6142" width="12" style="1" customWidth="1"/>
    <col min="6143" max="6157" width="10.7109375" style="1" customWidth="1"/>
    <col min="6158" max="6396" width="9.140625" style="1"/>
    <col min="6397" max="6397" width="32.28515625" style="1" customWidth="1"/>
    <col min="6398" max="6398" width="12" style="1" customWidth="1"/>
    <col min="6399" max="6413" width="10.7109375" style="1" customWidth="1"/>
    <col min="6414" max="6652" width="9.140625" style="1"/>
    <col min="6653" max="6653" width="32.28515625" style="1" customWidth="1"/>
    <col min="6654" max="6654" width="12" style="1" customWidth="1"/>
    <col min="6655" max="6669" width="10.7109375" style="1" customWidth="1"/>
    <col min="6670" max="6908" width="9.140625" style="1"/>
    <col min="6909" max="6909" width="32.28515625" style="1" customWidth="1"/>
    <col min="6910" max="6910" width="12" style="1" customWidth="1"/>
    <col min="6911" max="6925" width="10.7109375" style="1" customWidth="1"/>
    <col min="6926" max="7164" width="9.140625" style="1"/>
    <col min="7165" max="7165" width="32.28515625" style="1" customWidth="1"/>
    <col min="7166" max="7166" width="12" style="1" customWidth="1"/>
    <col min="7167" max="7181" width="10.7109375" style="1" customWidth="1"/>
    <col min="7182" max="7420" width="9.140625" style="1"/>
    <col min="7421" max="7421" width="32.28515625" style="1" customWidth="1"/>
    <col min="7422" max="7422" width="12" style="1" customWidth="1"/>
    <col min="7423" max="7437" width="10.7109375" style="1" customWidth="1"/>
    <col min="7438" max="7676" width="9.140625" style="1"/>
    <col min="7677" max="7677" width="32.28515625" style="1" customWidth="1"/>
    <col min="7678" max="7678" width="12" style="1" customWidth="1"/>
    <col min="7679" max="7693" width="10.7109375" style="1" customWidth="1"/>
    <col min="7694" max="7932" width="9.140625" style="1"/>
    <col min="7933" max="7933" width="32.28515625" style="1" customWidth="1"/>
    <col min="7934" max="7934" width="12" style="1" customWidth="1"/>
    <col min="7935" max="7949" width="10.7109375" style="1" customWidth="1"/>
    <col min="7950" max="8188" width="9.140625" style="1"/>
    <col min="8189" max="8189" width="32.28515625" style="1" customWidth="1"/>
    <col min="8190" max="8190" width="12" style="1" customWidth="1"/>
    <col min="8191" max="8205" width="10.7109375" style="1" customWidth="1"/>
    <col min="8206" max="8444" width="9.140625" style="1"/>
    <col min="8445" max="8445" width="32.28515625" style="1" customWidth="1"/>
    <col min="8446" max="8446" width="12" style="1" customWidth="1"/>
    <col min="8447" max="8461" width="10.7109375" style="1" customWidth="1"/>
    <col min="8462" max="8700" width="9.140625" style="1"/>
    <col min="8701" max="8701" width="32.28515625" style="1" customWidth="1"/>
    <col min="8702" max="8702" width="12" style="1" customWidth="1"/>
    <col min="8703" max="8717" width="10.7109375" style="1" customWidth="1"/>
    <col min="8718" max="8956" width="9.140625" style="1"/>
    <col min="8957" max="8957" width="32.28515625" style="1" customWidth="1"/>
    <col min="8958" max="8958" width="12" style="1" customWidth="1"/>
    <col min="8959" max="8973" width="10.7109375" style="1" customWidth="1"/>
    <col min="8974" max="9212" width="9.140625" style="1"/>
    <col min="9213" max="9213" width="32.28515625" style="1" customWidth="1"/>
    <col min="9214" max="9214" width="12" style="1" customWidth="1"/>
    <col min="9215" max="9229" width="10.7109375" style="1" customWidth="1"/>
    <col min="9230" max="9468" width="9.140625" style="1"/>
    <col min="9469" max="9469" width="32.28515625" style="1" customWidth="1"/>
    <col min="9470" max="9470" width="12" style="1" customWidth="1"/>
    <col min="9471" max="9485" width="10.7109375" style="1" customWidth="1"/>
    <col min="9486" max="9724" width="9.140625" style="1"/>
    <col min="9725" max="9725" width="32.28515625" style="1" customWidth="1"/>
    <col min="9726" max="9726" width="12" style="1" customWidth="1"/>
    <col min="9727" max="9741" width="10.7109375" style="1" customWidth="1"/>
    <col min="9742" max="9980" width="9.140625" style="1"/>
    <col min="9981" max="9981" width="32.28515625" style="1" customWidth="1"/>
    <col min="9982" max="9982" width="12" style="1" customWidth="1"/>
    <col min="9983" max="9997" width="10.7109375" style="1" customWidth="1"/>
    <col min="9998" max="10236" width="9.140625" style="1"/>
    <col min="10237" max="10237" width="32.28515625" style="1" customWidth="1"/>
    <col min="10238" max="10238" width="12" style="1" customWidth="1"/>
    <col min="10239" max="10253" width="10.7109375" style="1" customWidth="1"/>
    <col min="10254" max="10492" width="9.140625" style="1"/>
    <col min="10493" max="10493" width="32.28515625" style="1" customWidth="1"/>
    <col min="10494" max="10494" width="12" style="1" customWidth="1"/>
    <col min="10495" max="10509" width="10.7109375" style="1" customWidth="1"/>
    <col min="10510" max="10748" width="9.140625" style="1"/>
    <col min="10749" max="10749" width="32.28515625" style="1" customWidth="1"/>
    <col min="10750" max="10750" width="12" style="1" customWidth="1"/>
    <col min="10751" max="10765" width="10.7109375" style="1" customWidth="1"/>
    <col min="10766" max="11004" width="9.140625" style="1"/>
    <col min="11005" max="11005" width="32.28515625" style="1" customWidth="1"/>
    <col min="11006" max="11006" width="12" style="1" customWidth="1"/>
    <col min="11007" max="11021" width="10.7109375" style="1" customWidth="1"/>
    <col min="11022" max="11260" width="9.140625" style="1"/>
    <col min="11261" max="11261" width="32.28515625" style="1" customWidth="1"/>
    <col min="11262" max="11262" width="12" style="1" customWidth="1"/>
    <col min="11263" max="11277" width="10.7109375" style="1" customWidth="1"/>
    <col min="11278" max="11516" width="9.140625" style="1"/>
    <col min="11517" max="11517" width="32.28515625" style="1" customWidth="1"/>
    <col min="11518" max="11518" width="12" style="1" customWidth="1"/>
    <col min="11519" max="11533" width="10.7109375" style="1" customWidth="1"/>
    <col min="11534" max="11772" width="9.140625" style="1"/>
    <col min="11773" max="11773" width="32.28515625" style="1" customWidth="1"/>
    <col min="11774" max="11774" width="12" style="1" customWidth="1"/>
    <col min="11775" max="11789" width="10.7109375" style="1" customWidth="1"/>
    <col min="11790" max="12028" width="9.140625" style="1"/>
    <col min="12029" max="12029" width="32.28515625" style="1" customWidth="1"/>
    <col min="12030" max="12030" width="12" style="1" customWidth="1"/>
    <col min="12031" max="12045" width="10.7109375" style="1" customWidth="1"/>
    <col min="12046" max="12284" width="9.140625" style="1"/>
    <col min="12285" max="12285" width="32.28515625" style="1" customWidth="1"/>
    <col min="12286" max="12286" width="12" style="1" customWidth="1"/>
    <col min="12287" max="12301" width="10.7109375" style="1" customWidth="1"/>
    <col min="12302" max="12540" width="9.140625" style="1"/>
    <col min="12541" max="12541" width="32.28515625" style="1" customWidth="1"/>
    <col min="12542" max="12542" width="12" style="1" customWidth="1"/>
    <col min="12543" max="12557" width="10.7109375" style="1" customWidth="1"/>
    <col min="12558" max="12796" width="9.140625" style="1"/>
    <col min="12797" max="12797" width="32.28515625" style="1" customWidth="1"/>
    <col min="12798" max="12798" width="12" style="1" customWidth="1"/>
    <col min="12799" max="12813" width="10.7109375" style="1" customWidth="1"/>
    <col min="12814" max="13052" width="9.140625" style="1"/>
    <col min="13053" max="13053" width="32.28515625" style="1" customWidth="1"/>
    <col min="13054" max="13054" width="12" style="1" customWidth="1"/>
    <col min="13055" max="13069" width="10.7109375" style="1" customWidth="1"/>
    <col min="13070" max="13308" width="9.140625" style="1"/>
    <col min="13309" max="13309" width="32.28515625" style="1" customWidth="1"/>
    <col min="13310" max="13310" width="12" style="1" customWidth="1"/>
    <col min="13311" max="13325" width="10.7109375" style="1" customWidth="1"/>
    <col min="13326" max="13564" width="9.140625" style="1"/>
    <col min="13565" max="13565" width="32.28515625" style="1" customWidth="1"/>
    <col min="13566" max="13566" width="12" style="1" customWidth="1"/>
    <col min="13567" max="13581" width="10.7109375" style="1" customWidth="1"/>
    <col min="13582" max="13820" width="9.140625" style="1"/>
    <col min="13821" max="13821" width="32.28515625" style="1" customWidth="1"/>
    <col min="13822" max="13822" width="12" style="1" customWidth="1"/>
    <col min="13823" max="13837" width="10.7109375" style="1" customWidth="1"/>
    <col min="13838" max="14076" width="9.140625" style="1"/>
    <col min="14077" max="14077" width="32.28515625" style="1" customWidth="1"/>
    <col min="14078" max="14078" width="12" style="1" customWidth="1"/>
    <col min="14079" max="14093" width="10.7109375" style="1" customWidth="1"/>
    <col min="14094" max="14332" width="9.140625" style="1"/>
    <col min="14333" max="14333" width="32.28515625" style="1" customWidth="1"/>
    <col min="14334" max="14334" width="12" style="1" customWidth="1"/>
    <col min="14335" max="14349" width="10.7109375" style="1" customWidth="1"/>
    <col min="14350" max="14588" width="9.140625" style="1"/>
    <col min="14589" max="14589" width="32.28515625" style="1" customWidth="1"/>
    <col min="14590" max="14590" width="12" style="1" customWidth="1"/>
    <col min="14591" max="14605" width="10.7109375" style="1" customWidth="1"/>
    <col min="14606" max="14844" width="9.140625" style="1"/>
    <col min="14845" max="14845" width="32.28515625" style="1" customWidth="1"/>
    <col min="14846" max="14846" width="12" style="1" customWidth="1"/>
    <col min="14847" max="14861" width="10.7109375" style="1" customWidth="1"/>
    <col min="14862" max="15100" width="9.140625" style="1"/>
    <col min="15101" max="15101" width="32.28515625" style="1" customWidth="1"/>
    <col min="15102" max="15102" width="12" style="1" customWidth="1"/>
    <col min="15103" max="15117" width="10.7109375" style="1" customWidth="1"/>
    <col min="15118" max="15356" width="9.140625" style="1"/>
    <col min="15357" max="15357" width="32.28515625" style="1" customWidth="1"/>
    <col min="15358" max="15358" width="12" style="1" customWidth="1"/>
    <col min="15359" max="15373" width="10.7109375" style="1" customWidth="1"/>
    <col min="15374" max="15612" width="9.140625" style="1"/>
    <col min="15613" max="15613" width="32.28515625" style="1" customWidth="1"/>
    <col min="15614" max="15614" width="12" style="1" customWidth="1"/>
    <col min="15615" max="15629" width="10.7109375" style="1" customWidth="1"/>
    <col min="15630" max="15868" width="9.140625" style="1"/>
    <col min="15869" max="15869" width="32.28515625" style="1" customWidth="1"/>
    <col min="15870" max="15870" width="12" style="1" customWidth="1"/>
    <col min="15871" max="15885" width="10.7109375" style="1" customWidth="1"/>
    <col min="15886" max="16124" width="9.140625" style="1"/>
    <col min="16125" max="16125" width="32.28515625" style="1" customWidth="1"/>
    <col min="16126" max="16126" width="12" style="1" customWidth="1"/>
    <col min="16127" max="16141" width="10.7109375" style="1" customWidth="1"/>
    <col min="16142" max="16384" width="9.140625" style="1"/>
  </cols>
  <sheetData>
    <row r="1" spans="2: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35" ht="21">
      <c r="B2" s="3" t="s">
        <v>58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 t="s">
        <v>59</v>
      </c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148"/>
    </row>
    <row r="3" spans="2:35">
      <c r="B3" s="8"/>
      <c r="C3" s="9" t="s">
        <v>60</v>
      </c>
      <c r="R3" s="10"/>
      <c r="S3" s="76"/>
      <c r="T3" s="76"/>
      <c r="U3" s="76"/>
      <c r="V3" s="76"/>
      <c r="W3" s="76"/>
      <c r="X3" s="76"/>
      <c r="Y3" s="76"/>
      <c r="Z3" s="76"/>
      <c r="AA3" s="76"/>
      <c r="AB3" s="76"/>
    </row>
    <row r="4" spans="2:35" ht="21">
      <c r="B4" s="8"/>
      <c r="C4" s="12" t="s">
        <v>61</v>
      </c>
      <c r="E4" s="262" t="s">
        <v>62</v>
      </c>
      <c r="F4" s="263"/>
      <c r="G4" s="263"/>
      <c r="H4" s="264"/>
      <c r="M4" s="13" t="s">
        <v>63</v>
      </c>
      <c r="N4" s="13"/>
      <c r="O4" s="13"/>
      <c r="P4" s="13"/>
      <c r="Q4" s="13"/>
      <c r="R4" s="14"/>
      <c r="T4" s="6" t="s">
        <v>64</v>
      </c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2:35">
      <c r="B5" s="8"/>
      <c r="R5" s="14"/>
      <c r="T5" s="11" t="s">
        <v>65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2:35">
      <c r="B6" s="16">
        <v>1</v>
      </c>
      <c r="C6" s="17" t="s">
        <v>66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8"/>
      <c r="T6" s="1" t="s">
        <v>67</v>
      </c>
      <c r="Z6" s="15"/>
    </row>
    <row r="7" spans="2:35">
      <c r="B7" s="114">
        <v>2</v>
      </c>
      <c r="C7" s="17" t="s">
        <v>68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  <c r="T7" s="1" t="s">
        <v>69</v>
      </c>
      <c r="Z7" s="15"/>
    </row>
    <row r="8" spans="2:35">
      <c r="B8" s="114" t="s">
        <v>70</v>
      </c>
      <c r="C8" s="21" t="s">
        <v>71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8"/>
      <c r="T8" s="1" t="s">
        <v>72</v>
      </c>
      <c r="Z8" s="15"/>
    </row>
    <row r="9" spans="2:35">
      <c r="B9" s="114" t="s">
        <v>73</v>
      </c>
      <c r="C9" s="17" t="s">
        <v>74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8"/>
      <c r="Z9" s="15"/>
    </row>
    <row r="10" spans="2:35">
      <c r="B10" s="114">
        <v>4</v>
      </c>
      <c r="C10" s="17" t="s">
        <v>75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/>
      <c r="T10" s="11" t="s">
        <v>76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2:35">
      <c r="B11" s="114">
        <v>5</v>
      </c>
      <c r="C11" s="21" t="s">
        <v>77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  <c r="T11" s="1" t="s">
        <v>78</v>
      </c>
      <c r="Z11" s="15"/>
    </row>
    <row r="12" spans="2:35">
      <c r="B12" s="114"/>
      <c r="C12" s="21" t="s">
        <v>79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8"/>
      <c r="Z12" s="15"/>
    </row>
    <row r="13" spans="2:35">
      <c r="B13" s="20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8"/>
      <c r="T13" s="11" t="s">
        <v>80</v>
      </c>
      <c r="U13" s="11"/>
      <c r="V13" s="11"/>
      <c r="W13" s="11"/>
      <c r="X13" s="11"/>
      <c r="Y13" s="11"/>
      <c r="Z13" s="19"/>
      <c r="AA13" s="11"/>
      <c r="AB13" s="11"/>
      <c r="AC13" s="11"/>
      <c r="AD13" s="11"/>
      <c r="AE13" s="11"/>
      <c r="AF13" s="11"/>
      <c r="AG13" s="11"/>
    </row>
    <row r="14" spans="2:35">
      <c r="B14" s="20"/>
      <c r="C14" s="17" t="s">
        <v>81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8"/>
      <c r="T14" s="132" t="s">
        <v>82</v>
      </c>
    </row>
    <row r="15" spans="2:35">
      <c r="B15" s="22"/>
      <c r="C15" s="21" t="s">
        <v>83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4"/>
    </row>
    <row r="16" spans="2:35">
      <c r="C16" s="25"/>
      <c r="T16" s="11" t="s">
        <v>84</v>
      </c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>
      <c r="A17" s="26">
        <v>1</v>
      </c>
      <c r="B17" s="27" t="s">
        <v>85</v>
      </c>
      <c r="C17" s="18"/>
      <c r="D17" s="90" t="s">
        <v>45</v>
      </c>
      <c r="T17" s="1" t="s">
        <v>86</v>
      </c>
    </row>
    <row r="18" spans="1:33">
      <c r="B18" s="20" t="s">
        <v>87</v>
      </c>
      <c r="C18" s="18"/>
      <c r="D18" s="62">
        <v>0.1</v>
      </c>
    </row>
    <row r="19" spans="1:33">
      <c r="T19" s="11" t="s">
        <v>88</v>
      </c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ht="15" customHeight="1" thickBot="1">
      <c r="A20" s="26">
        <v>2</v>
      </c>
      <c r="B20" s="29" t="s">
        <v>89</v>
      </c>
      <c r="C20" s="18"/>
      <c r="D20" s="63">
        <v>-450000</v>
      </c>
      <c r="T20" s="1" t="s">
        <v>90</v>
      </c>
    </row>
    <row r="21" spans="1:33" ht="15" thickBot="1"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65" t="s">
        <v>91</v>
      </c>
      <c r="P21" s="266"/>
      <c r="Q21" s="266"/>
      <c r="R21" s="267"/>
      <c r="S21" s="30"/>
    </row>
    <row r="22" spans="1:33">
      <c r="B22" s="20"/>
      <c r="C22" s="17"/>
      <c r="D22" s="31" t="s">
        <v>3</v>
      </c>
      <c r="E22" s="32">
        <v>1</v>
      </c>
      <c r="F22" s="32">
        <v>2</v>
      </c>
      <c r="G22" s="32">
        <v>3</v>
      </c>
      <c r="H22" s="32">
        <v>4</v>
      </c>
      <c r="I22" s="32">
        <v>5</v>
      </c>
      <c r="J22" s="32">
        <v>6</v>
      </c>
      <c r="K22" s="32">
        <v>7</v>
      </c>
      <c r="L22" s="32">
        <v>8</v>
      </c>
      <c r="M22" s="32">
        <v>9</v>
      </c>
      <c r="N22" s="32">
        <v>10</v>
      </c>
      <c r="O22" s="115" t="s">
        <v>92</v>
      </c>
      <c r="P22" s="115" t="s">
        <v>45</v>
      </c>
      <c r="Q22" s="115" t="s">
        <v>93</v>
      </c>
      <c r="R22" s="115" t="s">
        <v>94</v>
      </c>
      <c r="S22" s="89"/>
      <c r="T22" s="28" t="s">
        <v>95</v>
      </c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>
      <c r="A23" s="26">
        <v>3</v>
      </c>
      <c r="B23" s="275" t="s">
        <v>96</v>
      </c>
      <c r="C23" s="276"/>
      <c r="D23" s="111"/>
      <c r="E23" s="64">
        <v>5000</v>
      </c>
      <c r="F23" s="63">
        <v>5000</v>
      </c>
      <c r="G23" s="63">
        <v>150000</v>
      </c>
      <c r="H23" s="63">
        <v>150000</v>
      </c>
      <c r="I23" s="63">
        <v>227500</v>
      </c>
      <c r="J23" s="118">
        <v>227500</v>
      </c>
      <c r="K23" s="118">
        <v>227500</v>
      </c>
      <c r="L23" s="118">
        <v>295000</v>
      </c>
      <c r="M23" s="118">
        <v>295000</v>
      </c>
      <c r="N23" s="118">
        <v>295000</v>
      </c>
      <c r="O23" s="123">
        <v>295000</v>
      </c>
      <c r="P23" s="123">
        <v>295000</v>
      </c>
      <c r="Q23" s="123"/>
      <c r="R23" s="123"/>
      <c r="S23" s="30"/>
      <c r="T23" s="11" t="s">
        <v>97</v>
      </c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116"/>
      <c r="P24" s="116"/>
      <c r="Q24" s="116"/>
      <c r="R24" s="116"/>
      <c r="S24" s="30"/>
      <c r="T24" s="1" t="s">
        <v>98</v>
      </c>
    </row>
    <row r="25" spans="1:33">
      <c r="A25" s="26">
        <v>4</v>
      </c>
      <c r="B25" s="34" t="s">
        <v>6</v>
      </c>
      <c r="C25" s="17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17"/>
      <c r="P25" s="117"/>
      <c r="Q25" s="117"/>
      <c r="R25" s="117"/>
      <c r="S25" s="30"/>
      <c r="T25" s="1" t="s">
        <v>99</v>
      </c>
    </row>
    <row r="26" spans="1:33">
      <c r="B26" s="36" t="s">
        <v>10</v>
      </c>
      <c r="C26" s="2"/>
      <c r="D26" s="37"/>
      <c r="E26" s="65">
        <v>-24000</v>
      </c>
      <c r="F26" s="66">
        <f>(E26*1.03)</f>
        <v>-24720</v>
      </c>
      <c r="G26" s="66">
        <f t="shared" ref="G26:P26" si="0">(F26*1.03)</f>
        <v>-25461.600000000002</v>
      </c>
      <c r="H26" s="65">
        <f t="shared" si="0"/>
        <v>-26225.448000000004</v>
      </c>
      <c r="I26" s="66">
        <f t="shared" si="0"/>
        <v>-27012.211440000006</v>
      </c>
      <c r="J26" s="119">
        <f t="shared" si="0"/>
        <v>-27822.577783200006</v>
      </c>
      <c r="K26" s="120">
        <f t="shared" si="0"/>
        <v>-28657.255116696007</v>
      </c>
      <c r="L26" s="119">
        <f t="shared" si="0"/>
        <v>-29516.972770196888</v>
      </c>
      <c r="M26" s="119">
        <f t="shared" si="0"/>
        <v>-30402.481953302795</v>
      </c>
      <c r="N26" s="124">
        <f t="shared" si="0"/>
        <v>-31314.556411901878</v>
      </c>
      <c r="O26" s="125">
        <f t="shared" si="0"/>
        <v>-32253.993104258934</v>
      </c>
      <c r="P26" s="125">
        <f t="shared" si="0"/>
        <v>-33221.612897386702</v>
      </c>
      <c r="Q26" s="125"/>
      <c r="R26" s="125"/>
      <c r="S26" s="30"/>
    </row>
    <row r="27" spans="1:33">
      <c r="B27" s="8" t="s">
        <v>100</v>
      </c>
      <c r="D27" s="38"/>
      <c r="E27" s="64">
        <v>-35000</v>
      </c>
      <c r="F27" s="63">
        <v>-50000</v>
      </c>
      <c r="G27" s="63">
        <v>-65000</v>
      </c>
      <c r="H27" s="63">
        <v>-75000</v>
      </c>
      <c r="I27" s="63">
        <v>-75000</v>
      </c>
      <c r="J27" s="118">
        <v>-75000</v>
      </c>
      <c r="K27" s="118">
        <v>-75000</v>
      </c>
      <c r="L27" s="118">
        <v>-75000</v>
      </c>
      <c r="M27" s="118">
        <v>-75000</v>
      </c>
      <c r="N27" s="122">
        <v>-75000</v>
      </c>
      <c r="O27" s="123">
        <v>-75000</v>
      </c>
      <c r="P27" s="123">
        <v>-75000</v>
      </c>
      <c r="Q27" s="123"/>
      <c r="R27" s="123"/>
      <c r="S27" s="30"/>
      <c r="T27" s="11" t="s">
        <v>101</v>
      </c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>
      <c r="B28" s="8" t="s">
        <v>102</v>
      </c>
      <c r="D28" s="38"/>
      <c r="E28" s="64">
        <v>-3000</v>
      </c>
      <c r="F28" s="63">
        <f>E28*1.02</f>
        <v>-3060</v>
      </c>
      <c r="G28" s="63">
        <f t="shared" ref="G28:P28" si="1">F28*1.02</f>
        <v>-3121.2000000000003</v>
      </c>
      <c r="H28" s="63">
        <f t="shared" si="1"/>
        <v>-3183.6240000000003</v>
      </c>
      <c r="I28" s="63">
        <f t="shared" si="1"/>
        <v>-3247.2964800000004</v>
      </c>
      <c r="J28" s="118">
        <f t="shared" si="1"/>
        <v>-3312.2424096000004</v>
      </c>
      <c r="K28" s="118">
        <f t="shared" si="1"/>
        <v>-3378.4872577920005</v>
      </c>
      <c r="L28" s="118">
        <f t="shared" si="1"/>
        <v>-3446.0570029478404</v>
      </c>
      <c r="M28" s="118">
        <f t="shared" si="1"/>
        <v>-3514.9781430067974</v>
      </c>
      <c r="N28" s="122">
        <f t="shared" si="1"/>
        <v>-3585.2777058669335</v>
      </c>
      <c r="O28" s="123">
        <f t="shared" si="1"/>
        <v>-3656.9832599842721</v>
      </c>
      <c r="P28" s="123">
        <f t="shared" si="1"/>
        <v>-3730.1229251839577</v>
      </c>
      <c r="Q28" s="123"/>
      <c r="R28" s="123"/>
      <c r="S28" s="30"/>
      <c r="T28" s="70" t="s">
        <v>103</v>
      </c>
    </row>
    <row r="29" spans="1:33">
      <c r="B29" s="22" t="s">
        <v>104</v>
      </c>
      <c r="C29" s="23"/>
      <c r="D29" s="40"/>
      <c r="E29" s="67">
        <v>-55000</v>
      </c>
      <c r="F29" s="68">
        <v>-55000</v>
      </c>
      <c r="G29" s="68">
        <v>-55000</v>
      </c>
      <c r="H29" s="68">
        <v>-55000</v>
      </c>
      <c r="I29" s="68">
        <v>-55000</v>
      </c>
      <c r="J29" s="121">
        <v>-70000</v>
      </c>
      <c r="K29" s="121">
        <v>-70000</v>
      </c>
      <c r="L29" s="121">
        <v>-70000</v>
      </c>
      <c r="M29" s="121">
        <v>-70000</v>
      </c>
      <c r="N29" s="126">
        <v>-70000</v>
      </c>
      <c r="O29" s="127">
        <v>-70000</v>
      </c>
      <c r="P29" s="127">
        <v>-70000</v>
      </c>
      <c r="Q29" s="127"/>
      <c r="R29" s="127"/>
      <c r="S29" s="30"/>
    </row>
    <row r="30" spans="1:33">
      <c r="B30" s="41" t="s">
        <v>105</v>
      </c>
      <c r="C30" s="17"/>
      <c r="D30" s="35"/>
      <c r="E30" s="35">
        <f>SUM(E26:E29)</f>
        <v>-117000</v>
      </c>
      <c r="F30" s="35">
        <f t="shared" ref="F30:R30" si="2">SUM(F26:F29)</f>
        <v>-132780</v>
      </c>
      <c r="G30" s="35">
        <f t="shared" si="2"/>
        <v>-148582.79999999999</v>
      </c>
      <c r="H30" s="35">
        <f t="shared" si="2"/>
        <v>-159409.07199999999</v>
      </c>
      <c r="I30" s="35">
        <f t="shared" si="2"/>
        <v>-160259.50792</v>
      </c>
      <c r="J30" s="35">
        <f t="shared" si="2"/>
        <v>-176134.82019280002</v>
      </c>
      <c r="K30" s="35">
        <f t="shared" si="2"/>
        <v>-177035.74237448801</v>
      </c>
      <c r="L30" s="35">
        <f t="shared" si="2"/>
        <v>-177963.02977314472</v>
      </c>
      <c r="M30" s="35">
        <f t="shared" si="2"/>
        <v>-178917.4600963096</v>
      </c>
      <c r="N30" s="35">
        <f t="shared" si="2"/>
        <v>-179899.8341177688</v>
      </c>
      <c r="O30" s="117">
        <f t="shared" si="2"/>
        <v>-180910.97636424319</v>
      </c>
      <c r="P30" s="117">
        <f t="shared" si="2"/>
        <v>-181951.73582257066</v>
      </c>
      <c r="Q30" s="117">
        <f t="shared" si="2"/>
        <v>0</v>
      </c>
      <c r="R30" s="117">
        <f t="shared" si="2"/>
        <v>0</v>
      </c>
      <c r="S30" s="30"/>
      <c r="T30" s="39" t="s">
        <v>106</v>
      </c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</row>
    <row r="31" spans="1:33">
      <c r="B31" s="12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116"/>
      <c r="P31" s="116"/>
      <c r="Q31" s="116"/>
      <c r="R31" s="116"/>
      <c r="S31" s="30"/>
      <c r="T31" s="70" t="s">
        <v>107</v>
      </c>
    </row>
    <row r="32" spans="1:33">
      <c r="A32" s="26">
        <v>5</v>
      </c>
      <c r="B32" s="41" t="s">
        <v>88</v>
      </c>
      <c r="C32" s="17"/>
      <c r="D32" s="35"/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118">
        <v>0</v>
      </c>
      <c r="K32" s="118">
        <v>0</v>
      </c>
      <c r="L32" s="118">
        <v>0</v>
      </c>
      <c r="M32" s="118">
        <v>0</v>
      </c>
      <c r="N32" s="122">
        <v>0</v>
      </c>
      <c r="O32" s="123">
        <v>0</v>
      </c>
      <c r="P32" s="123">
        <v>0</v>
      </c>
      <c r="Q32" s="123"/>
      <c r="R32" s="123"/>
      <c r="S32" s="30"/>
    </row>
    <row r="33" spans="2:33">
      <c r="B33" s="12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116"/>
      <c r="P33" s="116"/>
      <c r="Q33" s="116"/>
      <c r="R33" s="116"/>
      <c r="S33" s="30"/>
      <c r="T33" s="39" t="s">
        <v>108</v>
      </c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</row>
    <row r="34" spans="2:33">
      <c r="B34" s="41" t="s">
        <v>109</v>
      </c>
      <c r="C34" s="17"/>
      <c r="D34" s="35"/>
      <c r="E34" s="35">
        <f>E30+E32</f>
        <v>-117000</v>
      </c>
      <c r="F34" s="35">
        <f t="shared" ref="F34:R34" si="3">F30+F32</f>
        <v>-132780</v>
      </c>
      <c r="G34" s="35">
        <f t="shared" si="3"/>
        <v>-148582.79999999999</v>
      </c>
      <c r="H34" s="35">
        <f t="shared" si="3"/>
        <v>-159409.07199999999</v>
      </c>
      <c r="I34" s="35">
        <f t="shared" si="3"/>
        <v>-160259.50792</v>
      </c>
      <c r="J34" s="35">
        <f t="shared" si="3"/>
        <v>-176134.82019280002</v>
      </c>
      <c r="K34" s="35">
        <f t="shared" si="3"/>
        <v>-177035.74237448801</v>
      </c>
      <c r="L34" s="35">
        <f t="shared" si="3"/>
        <v>-177963.02977314472</v>
      </c>
      <c r="M34" s="35">
        <f t="shared" si="3"/>
        <v>-178917.4600963096</v>
      </c>
      <c r="N34" s="35">
        <f t="shared" si="3"/>
        <v>-179899.8341177688</v>
      </c>
      <c r="O34" s="117">
        <f>O30+O32</f>
        <v>-180910.97636424319</v>
      </c>
      <c r="P34" s="117">
        <f t="shared" si="3"/>
        <v>-181951.73582257066</v>
      </c>
      <c r="Q34" s="117">
        <f t="shared" si="3"/>
        <v>0</v>
      </c>
      <c r="R34" s="117">
        <f t="shared" si="3"/>
        <v>0</v>
      </c>
      <c r="S34" s="30"/>
      <c r="T34" s="1" t="s">
        <v>110</v>
      </c>
    </row>
    <row r="35" spans="2:33"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116"/>
      <c r="P35" s="116"/>
      <c r="Q35" s="116"/>
      <c r="R35" s="116"/>
      <c r="S35" s="30"/>
    </row>
    <row r="36" spans="2:33" ht="15" thickBot="1">
      <c r="B36" s="20" t="s">
        <v>111</v>
      </c>
      <c r="C36" s="17"/>
      <c r="D36" s="35">
        <f>D20</f>
        <v>-450000</v>
      </c>
      <c r="E36" s="35">
        <f>E90</f>
        <v>-112000</v>
      </c>
      <c r="F36" s="35">
        <f t="shared" ref="F36:N36" si="4">F90</f>
        <v>-127780</v>
      </c>
      <c r="G36" s="35">
        <f t="shared" si="4"/>
        <v>1417.2000000000116</v>
      </c>
      <c r="H36" s="35">
        <f t="shared" si="4"/>
        <v>-9409.0719999999856</v>
      </c>
      <c r="I36" s="35">
        <f t="shared" si="4"/>
        <v>67240.492079999996</v>
      </c>
      <c r="J36" s="35">
        <f t="shared" si="4"/>
        <v>51365.17980719998</v>
      </c>
      <c r="K36" s="35">
        <f t="shared" si="4"/>
        <v>50464.257625511993</v>
      </c>
      <c r="L36" s="35">
        <f t="shared" si="4"/>
        <v>117036.97022685528</v>
      </c>
      <c r="M36" s="35">
        <f t="shared" si="4"/>
        <v>116082.5399036904</v>
      </c>
      <c r="N36" s="35">
        <f t="shared" si="4"/>
        <v>115100.1658822312</v>
      </c>
      <c r="O36" s="196">
        <f>S90</f>
        <v>114089.02363575681</v>
      </c>
      <c r="P36" s="196">
        <f>X90</f>
        <v>113048.26417742934</v>
      </c>
      <c r="Q36" s="196" t="e">
        <f>AC90</f>
        <v>#N/A</v>
      </c>
      <c r="R36" s="196" t="e">
        <f>AH90</f>
        <v>#N/A</v>
      </c>
      <c r="S36" s="30"/>
    </row>
    <row r="37" spans="2:33">
      <c r="B37" s="22" t="s">
        <v>112</v>
      </c>
      <c r="C37" s="20"/>
      <c r="D37" s="35">
        <f>+D20</f>
        <v>-450000</v>
      </c>
      <c r="E37" s="35">
        <f>E91</f>
        <v>-562000</v>
      </c>
      <c r="F37" s="35">
        <f t="shared" ref="F37:N37" si="5">F91</f>
        <v>-689780</v>
      </c>
      <c r="G37" s="35">
        <f t="shared" si="5"/>
        <v>-688362.8</v>
      </c>
      <c r="H37" s="35">
        <f t="shared" si="5"/>
        <v>-697771.87199999997</v>
      </c>
      <c r="I37" s="35">
        <f t="shared" si="5"/>
        <v>-630531.37991999998</v>
      </c>
      <c r="J37" s="35">
        <f t="shared" si="5"/>
        <v>-579166.2001128</v>
      </c>
      <c r="K37" s="35">
        <f t="shared" si="5"/>
        <v>-528701.94248728803</v>
      </c>
      <c r="L37" s="35">
        <f t="shared" si="5"/>
        <v>-411664.97226043278</v>
      </c>
      <c r="M37" s="35">
        <f t="shared" si="5"/>
        <v>-295582.43235674239</v>
      </c>
      <c r="N37" s="35">
        <f t="shared" si="5"/>
        <v>-180482.26647451118</v>
      </c>
      <c r="O37" s="197">
        <f>S91</f>
        <v>389962.85170427285</v>
      </c>
      <c r="P37" s="197">
        <f>X91</f>
        <v>955204.17259141966</v>
      </c>
      <c r="Q37" s="197" t="e">
        <f>AC91</f>
        <v>#N/A</v>
      </c>
      <c r="R37" s="197" t="e">
        <f>AH91</f>
        <v>#N/A</v>
      </c>
      <c r="S37" s="30"/>
    </row>
    <row r="38" spans="2:33" ht="15" thickBot="1">
      <c r="D38" s="30"/>
      <c r="O38" s="268" t="s">
        <v>113</v>
      </c>
      <c r="P38" s="269"/>
      <c r="Q38" s="269"/>
      <c r="R38" s="270"/>
    </row>
    <row r="39" spans="2:33">
      <c r="B39" s="42" t="s">
        <v>95</v>
      </c>
      <c r="C39" s="42"/>
      <c r="D39" s="43"/>
    </row>
    <row r="40" spans="2:33">
      <c r="B40" s="20" t="s">
        <v>114</v>
      </c>
      <c r="C40" s="17"/>
      <c r="D40" s="33" cm="1">
        <f t="array" ref="D40">_xlfn.IFS(Data!C12=5,NPV($D$18,E96:I96)+D20,Data!C12=10,NPV($D$18,E96:N96)+D20,Data!C12=15,NPV($D$18,E96:S96)+D20,Data!C12=20,NPV($D$18,E96:X96)+D20,Data!C12=25,NPV($D$18,E96:AC96)+D20,Data!C12=30,NPV($D$18,E96:AH96)+D20)</f>
        <v>-148604.66978628974</v>
      </c>
      <c r="F40" s="30"/>
      <c r="G40" s="30"/>
      <c r="H40" s="30"/>
      <c r="I40" s="30"/>
      <c r="J40" s="30"/>
      <c r="K40" s="30"/>
      <c r="L40" s="30"/>
      <c r="M40" s="30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</row>
    <row r="41" spans="2:33">
      <c r="B41" s="20" t="s">
        <v>101</v>
      </c>
      <c r="C41" s="17"/>
      <c r="D41" s="192" cm="1">
        <f t="array" ref="D41">_xlfn.IFS(Data!C12=5,MIRR(D96:I96,$D$18,$D$18),Data!C12=10,MIRR(D96:N96,$D$18,$D$18),Data!C12=15,MIRR(D96:S96,$D$18,$D$18),Data!C12=20,MIRR(D96:X96,$D$18,$D$18),Data!C12=25,MIRR(D96:AC96,$D$18,$D$18),Data!C12=30,MIRR(D96:AH96,$D$18,$D$18))</f>
        <v>8.6150162786833739E-2</v>
      </c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2:33">
      <c r="B42" s="20" t="s">
        <v>106</v>
      </c>
      <c r="C42" s="17"/>
      <c r="D42" s="46" t="str">
        <f>_xlfn.IFNA(MATCH(1,E106:AH106,0)-1+SUM(E107:AH107),"-")</f>
        <v>-</v>
      </c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</row>
    <row r="73" spans="1:42">
      <c r="AJ73" s="89"/>
      <c r="AK73" s="89"/>
      <c r="AL73" s="89"/>
      <c r="AM73" s="89"/>
      <c r="AN73" s="89"/>
      <c r="AO73" s="89"/>
      <c r="AP73" s="89"/>
    </row>
    <row r="74" spans="1:42">
      <c r="AJ74" s="30"/>
      <c r="AK74" s="30"/>
      <c r="AL74" s="30"/>
      <c r="AM74" s="30"/>
      <c r="AN74" s="30"/>
      <c r="AO74" s="30"/>
      <c r="AP74" s="30"/>
    </row>
    <row r="75" spans="1:42" ht="15" thickBot="1">
      <c r="AJ75" s="30"/>
      <c r="AK75" s="30"/>
      <c r="AL75" s="30"/>
      <c r="AM75" s="30"/>
      <c r="AN75" s="30"/>
      <c r="AO75" s="30"/>
      <c r="AP75" s="30"/>
    </row>
    <row r="76" spans="1:42">
      <c r="B76" s="20"/>
      <c r="C76" s="17"/>
      <c r="D76" s="32" t="s">
        <v>3</v>
      </c>
      <c r="E76" s="77">
        <v>1</v>
      </c>
      <c r="F76" s="78">
        <v>2</v>
      </c>
      <c r="G76" s="78">
        <v>3</v>
      </c>
      <c r="H76" s="78">
        <v>4</v>
      </c>
      <c r="I76" s="79">
        <v>5</v>
      </c>
      <c r="J76" s="77">
        <v>6</v>
      </c>
      <c r="K76" s="78">
        <v>7</v>
      </c>
      <c r="L76" s="78">
        <v>8</v>
      </c>
      <c r="M76" s="78">
        <v>9</v>
      </c>
      <c r="N76" s="79">
        <v>10</v>
      </c>
      <c r="O76" s="77">
        <v>11</v>
      </c>
      <c r="P76" s="78">
        <v>12</v>
      </c>
      <c r="Q76" s="78">
        <v>13</v>
      </c>
      <c r="R76" s="78">
        <v>14</v>
      </c>
      <c r="S76" s="79">
        <v>15</v>
      </c>
      <c r="T76" s="77">
        <v>16</v>
      </c>
      <c r="U76" s="78">
        <v>17</v>
      </c>
      <c r="V76" s="78">
        <v>18</v>
      </c>
      <c r="W76" s="78">
        <v>19</v>
      </c>
      <c r="X76" s="79">
        <v>20</v>
      </c>
      <c r="Y76" s="77">
        <v>21</v>
      </c>
      <c r="Z76" s="78">
        <v>22</v>
      </c>
      <c r="AA76" s="78">
        <v>23</v>
      </c>
      <c r="AB76" s="78">
        <v>24</v>
      </c>
      <c r="AC76" s="79">
        <v>25</v>
      </c>
      <c r="AD76" s="77">
        <v>26</v>
      </c>
      <c r="AE76" s="78">
        <v>27</v>
      </c>
      <c r="AF76" s="78">
        <v>28</v>
      </c>
      <c r="AG76" s="78">
        <v>29</v>
      </c>
      <c r="AH76" s="79">
        <v>30</v>
      </c>
      <c r="AJ76" s="30"/>
      <c r="AK76" s="30"/>
      <c r="AL76" s="30"/>
      <c r="AM76" s="30"/>
      <c r="AN76" s="30"/>
      <c r="AO76" s="30"/>
      <c r="AP76" s="30"/>
    </row>
    <row r="77" spans="1:42">
      <c r="A77" s="132"/>
      <c r="B77" s="41" t="str">
        <f>B23</f>
        <v>Förväntad intäkt (inbetalningar)</v>
      </c>
      <c r="C77" s="109"/>
      <c r="D77" s="110"/>
      <c r="E77" s="135">
        <f t="shared" ref="E77:N77" si="6">IF(E$105="X",E23,NA())</f>
        <v>5000</v>
      </c>
      <c r="F77" s="47">
        <f t="shared" si="6"/>
        <v>5000</v>
      </c>
      <c r="G77" s="47">
        <f t="shared" si="6"/>
        <v>150000</v>
      </c>
      <c r="H77" s="47">
        <f t="shared" si="6"/>
        <v>150000</v>
      </c>
      <c r="I77" s="136">
        <f t="shared" si="6"/>
        <v>227500</v>
      </c>
      <c r="J77" s="135">
        <f t="shared" si="6"/>
        <v>227500</v>
      </c>
      <c r="K77" s="47">
        <f t="shared" si="6"/>
        <v>227500</v>
      </c>
      <c r="L77" s="47">
        <f t="shared" si="6"/>
        <v>295000</v>
      </c>
      <c r="M77" s="47">
        <f t="shared" si="6"/>
        <v>295000</v>
      </c>
      <c r="N77" s="136">
        <f t="shared" si="6"/>
        <v>295000</v>
      </c>
      <c r="O77" s="135">
        <f>IF(O$105="X",$O23,NA())</f>
        <v>295000</v>
      </c>
      <c r="P77" s="47">
        <f>IF(P$105="X",$O23,NA())</f>
        <v>295000</v>
      </c>
      <c r="Q77" s="47">
        <f>IF(Q$105="X",$O23,NA())</f>
        <v>295000</v>
      </c>
      <c r="R77" s="47">
        <f>IF(R$105="X",$O23,NA())</f>
        <v>295000</v>
      </c>
      <c r="S77" s="136">
        <f>IF(S$105="X",$O23,NA())</f>
        <v>295000</v>
      </c>
      <c r="T77" s="135">
        <f>IF(T$105="X",$P23,NA())</f>
        <v>295000</v>
      </c>
      <c r="U77" s="47">
        <f>IF(U$105="X",$P23,NA())</f>
        <v>295000</v>
      </c>
      <c r="V77" s="47">
        <f>IF(V$105="X",$P23,NA())</f>
        <v>295000</v>
      </c>
      <c r="W77" s="47">
        <f>IF(W$105="X",$P23,NA())</f>
        <v>295000</v>
      </c>
      <c r="X77" s="136">
        <f>IF(X$105="X",$P23,NA())</f>
        <v>295000</v>
      </c>
      <c r="Y77" s="135" t="e">
        <f>IF(Y$105="X",$Q23,NA())</f>
        <v>#N/A</v>
      </c>
      <c r="Z77" s="47" t="e">
        <f>IF(Z$105="X",$Q23,NA())</f>
        <v>#N/A</v>
      </c>
      <c r="AA77" s="47" t="e">
        <f>IF(AA$105="X",$Q23,NA())</f>
        <v>#N/A</v>
      </c>
      <c r="AB77" s="47" t="e">
        <f>IF(AB$105="X",$Q23,NA())</f>
        <v>#N/A</v>
      </c>
      <c r="AC77" s="136" t="e">
        <f>IF(AC$105="X",$Q23,NA())</f>
        <v>#N/A</v>
      </c>
      <c r="AD77" s="135" t="e">
        <f>IF(AD$105="X",$R23,NA())</f>
        <v>#N/A</v>
      </c>
      <c r="AE77" s="47" t="e">
        <f>IF(AE$105="X",$R23,NA())</f>
        <v>#N/A</v>
      </c>
      <c r="AF77" s="47" t="e">
        <f>IF(AF$105="X",$R23,NA())</f>
        <v>#N/A</v>
      </c>
      <c r="AG77" s="47" t="e">
        <f>IF(AG$105="X",$R23,NA())</f>
        <v>#N/A</v>
      </c>
      <c r="AH77" s="136" t="e">
        <f>IF(AH$105="X",$R23,NA())</f>
        <v>#N/A</v>
      </c>
      <c r="AJ77" s="30"/>
      <c r="AK77" s="30"/>
      <c r="AL77" s="30"/>
      <c r="AM77" s="30"/>
      <c r="AN77" s="30"/>
      <c r="AO77" s="30"/>
      <c r="AP77" s="30"/>
    </row>
    <row r="78" spans="1:42">
      <c r="D78" s="30"/>
      <c r="E78" s="80"/>
      <c r="F78" s="30"/>
      <c r="G78" s="30"/>
      <c r="H78" s="30"/>
      <c r="I78" s="81"/>
      <c r="J78" s="80"/>
      <c r="K78" s="30"/>
      <c r="L78" s="30"/>
      <c r="M78" s="30"/>
      <c r="N78" s="81"/>
      <c r="O78" s="80"/>
      <c r="P78" s="30"/>
      <c r="Q78" s="30"/>
      <c r="R78" s="30"/>
      <c r="S78" s="81"/>
      <c r="T78" s="80"/>
      <c r="U78" s="30"/>
      <c r="V78" s="30"/>
      <c r="W78" s="30"/>
      <c r="X78" s="81"/>
      <c r="Y78" s="80"/>
      <c r="Z78" s="30"/>
      <c r="AA78" s="30"/>
      <c r="AB78" s="30"/>
      <c r="AC78" s="81"/>
      <c r="AD78" s="80"/>
      <c r="AE78" s="30"/>
      <c r="AF78" s="30"/>
      <c r="AG78" s="30"/>
      <c r="AH78" s="81"/>
      <c r="AJ78" s="30"/>
      <c r="AK78" s="30"/>
      <c r="AL78" s="30"/>
      <c r="AM78" s="30"/>
      <c r="AN78" s="30"/>
      <c r="AO78" s="30"/>
      <c r="AP78" s="30"/>
    </row>
    <row r="79" spans="1:42">
      <c r="B79" s="34" t="s">
        <v>6</v>
      </c>
      <c r="C79" s="17"/>
      <c r="D79" s="35"/>
      <c r="E79" s="82"/>
      <c r="F79" s="35"/>
      <c r="G79" s="35"/>
      <c r="H79" s="35"/>
      <c r="I79" s="83"/>
      <c r="J79" s="82"/>
      <c r="K79" s="35"/>
      <c r="L79" s="35"/>
      <c r="M79" s="35"/>
      <c r="N79" s="83"/>
      <c r="O79" s="82"/>
      <c r="P79" s="35"/>
      <c r="Q79" s="35"/>
      <c r="R79" s="35"/>
      <c r="S79" s="83"/>
      <c r="T79" s="82"/>
      <c r="U79" s="35"/>
      <c r="V79" s="35"/>
      <c r="W79" s="35"/>
      <c r="X79" s="83"/>
      <c r="Y79" s="82"/>
      <c r="Z79" s="35"/>
      <c r="AA79" s="35"/>
      <c r="AB79" s="35"/>
      <c r="AC79" s="83"/>
      <c r="AD79" s="82"/>
      <c r="AE79" s="35"/>
      <c r="AF79" s="35"/>
      <c r="AG79" s="35"/>
      <c r="AH79" s="83"/>
      <c r="AJ79" s="30"/>
      <c r="AK79" s="30"/>
      <c r="AL79" s="30"/>
      <c r="AM79" s="30"/>
      <c r="AN79" s="30"/>
      <c r="AO79" s="30"/>
      <c r="AP79" s="30"/>
    </row>
    <row r="80" spans="1:42">
      <c r="B80" s="36" t="s">
        <v>10</v>
      </c>
      <c r="C80" s="2"/>
      <c r="D80" s="87"/>
      <c r="E80" s="137">
        <f t="shared" ref="E80:N80" si="7">IF(E$105="X",E26,NA())</f>
        <v>-24000</v>
      </c>
      <c r="F80" s="133">
        <f t="shared" si="7"/>
        <v>-24720</v>
      </c>
      <c r="G80" s="133">
        <f t="shared" si="7"/>
        <v>-25461.600000000002</v>
      </c>
      <c r="H80" s="40">
        <f t="shared" si="7"/>
        <v>-26225.448000000004</v>
      </c>
      <c r="I80" s="138">
        <f t="shared" si="7"/>
        <v>-27012.211440000006</v>
      </c>
      <c r="J80" s="137">
        <f t="shared" si="7"/>
        <v>-27822.577783200006</v>
      </c>
      <c r="K80" s="40">
        <f t="shared" si="7"/>
        <v>-28657.255116696007</v>
      </c>
      <c r="L80" s="133">
        <f t="shared" si="7"/>
        <v>-29516.972770196888</v>
      </c>
      <c r="M80" s="133">
        <f t="shared" si="7"/>
        <v>-30402.481953302795</v>
      </c>
      <c r="N80" s="138">
        <f t="shared" si="7"/>
        <v>-31314.556411901878</v>
      </c>
      <c r="O80" s="137">
        <f t="shared" ref="O80:S83" si="8">IF(O$105="X",$O26,NA())</f>
        <v>-32253.993104258934</v>
      </c>
      <c r="P80" s="133">
        <f t="shared" si="8"/>
        <v>-32253.993104258934</v>
      </c>
      <c r="Q80" s="133">
        <f t="shared" si="8"/>
        <v>-32253.993104258934</v>
      </c>
      <c r="R80" s="133">
        <f t="shared" si="8"/>
        <v>-32253.993104258934</v>
      </c>
      <c r="S80" s="138">
        <f t="shared" si="8"/>
        <v>-32253.993104258934</v>
      </c>
      <c r="T80" s="137">
        <f t="shared" ref="T80:X83" si="9">IF(T$105="X",$P26,NA())</f>
        <v>-33221.612897386702</v>
      </c>
      <c r="U80" s="133">
        <f t="shared" si="9"/>
        <v>-33221.612897386702</v>
      </c>
      <c r="V80" s="133">
        <f t="shared" si="9"/>
        <v>-33221.612897386702</v>
      </c>
      <c r="W80" s="133">
        <f t="shared" si="9"/>
        <v>-33221.612897386702</v>
      </c>
      <c r="X80" s="138">
        <f t="shared" si="9"/>
        <v>-33221.612897386702</v>
      </c>
      <c r="Y80" s="137" t="e">
        <f t="shared" ref="Y80:AC83" si="10">IF(Y$105="X",$Q26,NA())</f>
        <v>#N/A</v>
      </c>
      <c r="Z80" s="133" t="e">
        <f t="shared" si="10"/>
        <v>#N/A</v>
      </c>
      <c r="AA80" s="133" t="e">
        <f t="shared" si="10"/>
        <v>#N/A</v>
      </c>
      <c r="AB80" s="133" t="e">
        <f t="shared" si="10"/>
        <v>#N/A</v>
      </c>
      <c r="AC80" s="138" t="e">
        <f t="shared" si="10"/>
        <v>#N/A</v>
      </c>
      <c r="AD80" s="137" t="e">
        <f t="shared" ref="AD80:AH83" si="11">IF(AD$105="X",$R26,NA())</f>
        <v>#N/A</v>
      </c>
      <c r="AE80" s="133" t="e">
        <f t="shared" si="11"/>
        <v>#N/A</v>
      </c>
      <c r="AF80" s="133" t="e">
        <f t="shared" si="11"/>
        <v>#N/A</v>
      </c>
      <c r="AG80" s="133" t="e">
        <f t="shared" si="11"/>
        <v>#N/A</v>
      </c>
      <c r="AH80" s="138" t="e">
        <f t="shared" si="11"/>
        <v>#N/A</v>
      </c>
      <c r="AJ80" s="30"/>
      <c r="AK80" s="30"/>
      <c r="AL80" s="30"/>
      <c r="AM80" s="30"/>
      <c r="AN80" s="30"/>
      <c r="AO80" s="30"/>
      <c r="AP80" s="30"/>
    </row>
    <row r="81" spans="1:42">
      <c r="B81" s="8" t="s">
        <v>100</v>
      </c>
      <c r="D81" s="30"/>
      <c r="E81" s="135">
        <f t="shared" ref="E81:N81" si="12">IF(E$105="X",E27,NA())</f>
        <v>-35000</v>
      </c>
      <c r="F81" s="47">
        <f t="shared" si="12"/>
        <v>-50000</v>
      </c>
      <c r="G81" s="47">
        <f t="shared" si="12"/>
        <v>-65000</v>
      </c>
      <c r="H81" s="47">
        <f t="shared" si="12"/>
        <v>-75000</v>
      </c>
      <c r="I81" s="136">
        <f t="shared" si="12"/>
        <v>-75000</v>
      </c>
      <c r="J81" s="135">
        <f t="shared" si="12"/>
        <v>-75000</v>
      </c>
      <c r="K81" s="47">
        <f t="shared" si="12"/>
        <v>-75000</v>
      </c>
      <c r="L81" s="47">
        <f t="shared" si="12"/>
        <v>-75000</v>
      </c>
      <c r="M81" s="47">
        <f t="shared" si="12"/>
        <v>-75000</v>
      </c>
      <c r="N81" s="136">
        <f t="shared" si="12"/>
        <v>-75000</v>
      </c>
      <c r="O81" s="135">
        <f t="shared" si="8"/>
        <v>-75000</v>
      </c>
      <c r="P81" s="47">
        <f t="shared" si="8"/>
        <v>-75000</v>
      </c>
      <c r="Q81" s="47">
        <f t="shared" si="8"/>
        <v>-75000</v>
      </c>
      <c r="R81" s="47">
        <f t="shared" si="8"/>
        <v>-75000</v>
      </c>
      <c r="S81" s="136">
        <f t="shared" si="8"/>
        <v>-75000</v>
      </c>
      <c r="T81" s="135">
        <f t="shared" si="9"/>
        <v>-75000</v>
      </c>
      <c r="U81" s="47">
        <f t="shared" si="9"/>
        <v>-75000</v>
      </c>
      <c r="V81" s="47">
        <f t="shared" si="9"/>
        <v>-75000</v>
      </c>
      <c r="W81" s="47">
        <f t="shared" si="9"/>
        <v>-75000</v>
      </c>
      <c r="X81" s="136">
        <f t="shared" si="9"/>
        <v>-75000</v>
      </c>
      <c r="Y81" s="135" t="e">
        <f t="shared" si="10"/>
        <v>#N/A</v>
      </c>
      <c r="Z81" s="47" t="e">
        <f t="shared" si="10"/>
        <v>#N/A</v>
      </c>
      <c r="AA81" s="47" t="e">
        <f t="shared" si="10"/>
        <v>#N/A</v>
      </c>
      <c r="AB81" s="47" t="e">
        <f t="shared" si="10"/>
        <v>#N/A</v>
      </c>
      <c r="AC81" s="136" t="e">
        <f t="shared" si="10"/>
        <v>#N/A</v>
      </c>
      <c r="AD81" s="135" t="e">
        <f t="shared" si="11"/>
        <v>#N/A</v>
      </c>
      <c r="AE81" s="47" t="e">
        <f t="shared" si="11"/>
        <v>#N/A</v>
      </c>
      <c r="AF81" s="47" t="e">
        <f t="shared" si="11"/>
        <v>#N/A</v>
      </c>
      <c r="AG81" s="47" t="e">
        <f t="shared" si="11"/>
        <v>#N/A</v>
      </c>
      <c r="AH81" s="136" t="e">
        <f t="shared" si="11"/>
        <v>#N/A</v>
      </c>
      <c r="AJ81" s="30"/>
      <c r="AK81" s="30"/>
      <c r="AL81" s="30"/>
      <c r="AM81" s="30"/>
      <c r="AN81" s="30"/>
      <c r="AO81" s="30"/>
      <c r="AP81" s="30"/>
    </row>
    <row r="82" spans="1:42">
      <c r="B82" s="8" t="s">
        <v>102</v>
      </c>
      <c r="D82" s="30"/>
      <c r="E82" s="135">
        <f t="shared" ref="E82:N82" si="13">IF(E$105="X",E28,NA())</f>
        <v>-3000</v>
      </c>
      <c r="F82" s="47">
        <f t="shared" si="13"/>
        <v>-3060</v>
      </c>
      <c r="G82" s="47">
        <f t="shared" si="13"/>
        <v>-3121.2000000000003</v>
      </c>
      <c r="H82" s="47">
        <f t="shared" si="13"/>
        <v>-3183.6240000000003</v>
      </c>
      <c r="I82" s="136">
        <f t="shared" si="13"/>
        <v>-3247.2964800000004</v>
      </c>
      <c r="J82" s="135">
        <f t="shared" si="13"/>
        <v>-3312.2424096000004</v>
      </c>
      <c r="K82" s="47">
        <f t="shared" si="13"/>
        <v>-3378.4872577920005</v>
      </c>
      <c r="L82" s="47">
        <f t="shared" si="13"/>
        <v>-3446.0570029478404</v>
      </c>
      <c r="M82" s="47">
        <f t="shared" si="13"/>
        <v>-3514.9781430067974</v>
      </c>
      <c r="N82" s="136">
        <f t="shared" si="13"/>
        <v>-3585.2777058669335</v>
      </c>
      <c r="O82" s="135">
        <f t="shared" si="8"/>
        <v>-3656.9832599842721</v>
      </c>
      <c r="P82" s="47">
        <f t="shared" si="8"/>
        <v>-3656.9832599842721</v>
      </c>
      <c r="Q82" s="47">
        <f t="shared" si="8"/>
        <v>-3656.9832599842721</v>
      </c>
      <c r="R82" s="47">
        <f t="shared" si="8"/>
        <v>-3656.9832599842721</v>
      </c>
      <c r="S82" s="136">
        <f t="shared" si="8"/>
        <v>-3656.9832599842721</v>
      </c>
      <c r="T82" s="135">
        <f t="shared" si="9"/>
        <v>-3730.1229251839577</v>
      </c>
      <c r="U82" s="47">
        <f t="shared" si="9"/>
        <v>-3730.1229251839577</v>
      </c>
      <c r="V82" s="47">
        <f t="shared" si="9"/>
        <v>-3730.1229251839577</v>
      </c>
      <c r="W82" s="47">
        <f t="shared" si="9"/>
        <v>-3730.1229251839577</v>
      </c>
      <c r="X82" s="136">
        <f t="shared" si="9"/>
        <v>-3730.1229251839577</v>
      </c>
      <c r="Y82" s="135" t="e">
        <f t="shared" si="10"/>
        <v>#N/A</v>
      </c>
      <c r="Z82" s="47" t="e">
        <f t="shared" si="10"/>
        <v>#N/A</v>
      </c>
      <c r="AA82" s="47" t="e">
        <f t="shared" si="10"/>
        <v>#N/A</v>
      </c>
      <c r="AB82" s="47" t="e">
        <f t="shared" si="10"/>
        <v>#N/A</v>
      </c>
      <c r="AC82" s="136" t="e">
        <f t="shared" si="10"/>
        <v>#N/A</v>
      </c>
      <c r="AD82" s="135" t="e">
        <f t="shared" si="11"/>
        <v>#N/A</v>
      </c>
      <c r="AE82" s="47" t="e">
        <f t="shared" si="11"/>
        <v>#N/A</v>
      </c>
      <c r="AF82" s="47" t="e">
        <f t="shared" si="11"/>
        <v>#N/A</v>
      </c>
      <c r="AG82" s="47" t="e">
        <f t="shared" si="11"/>
        <v>#N/A</v>
      </c>
      <c r="AH82" s="136" t="e">
        <f t="shared" si="11"/>
        <v>#N/A</v>
      </c>
      <c r="AJ82" s="30"/>
      <c r="AK82" s="30"/>
      <c r="AL82" s="30"/>
      <c r="AM82" s="30"/>
      <c r="AN82" s="30"/>
      <c r="AO82" s="30"/>
      <c r="AP82" s="30"/>
    </row>
    <row r="83" spans="1:42">
      <c r="B83" s="22" t="s">
        <v>104</v>
      </c>
      <c r="C83" s="23"/>
      <c r="D83" s="88"/>
      <c r="E83" s="139">
        <f t="shared" ref="E83:N83" si="14">IF(E$105="X",E29,NA())</f>
        <v>-55000</v>
      </c>
      <c r="F83" s="134">
        <f t="shared" si="14"/>
        <v>-55000</v>
      </c>
      <c r="G83" s="134">
        <f t="shared" si="14"/>
        <v>-55000</v>
      </c>
      <c r="H83" s="134">
        <f t="shared" si="14"/>
        <v>-55000</v>
      </c>
      <c r="I83" s="140">
        <f t="shared" si="14"/>
        <v>-55000</v>
      </c>
      <c r="J83" s="139">
        <f t="shared" si="14"/>
        <v>-70000</v>
      </c>
      <c r="K83" s="134">
        <f t="shared" si="14"/>
        <v>-70000</v>
      </c>
      <c r="L83" s="134">
        <f t="shared" si="14"/>
        <v>-70000</v>
      </c>
      <c r="M83" s="134">
        <f t="shared" si="14"/>
        <v>-70000</v>
      </c>
      <c r="N83" s="140">
        <f t="shared" si="14"/>
        <v>-70000</v>
      </c>
      <c r="O83" s="139">
        <f t="shared" si="8"/>
        <v>-70000</v>
      </c>
      <c r="P83" s="134">
        <f t="shared" si="8"/>
        <v>-70000</v>
      </c>
      <c r="Q83" s="134">
        <f t="shared" si="8"/>
        <v>-70000</v>
      </c>
      <c r="R83" s="134">
        <f t="shared" si="8"/>
        <v>-70000</v>
      </c>
      <c r="S83" s="140">
        <f t="shared" si="8"/>
        <v>-70000</v>
      </c>
      <c r="T83" s="139">
        <f t="shared" si="9"/>
        <v>-70000</v>
      </c>
      <c r="U83" s="134">
        <f t="shared" si="9"/>
        <v>-70000</v>
      </c>
      <c r="V83" s="134">
        <f t="shared" si="9"/>
        <v>-70000</v>
      </c>
      <c r="W83" s="134">
        <f t="shared" si="9"/>
        <v>-70000</v>
      </c>
      <c r="X83" s="140">
        <f t="shared" si="9"/>
        <v>-70000</v>
      </c>
      <c r="Y83" s="139" t="e">
        <f t="shared" si="10"/>
        <v>#N/A</v>
      </c>
      <c r="Z83" s="134" t="e">
        <f t="shared" si="10"/>
        <v>#N/A</v>
      </c>
      <c r="AA83" s="134" t="e">
        <f t="shared" si="10"/>
        <v>#N/A</v>
      </c>
      <c r="AB83" s="134" t="e">
        <f t="shared" si="10"/>
        <v>#N/A</v>
      </c>
      <c r="AC83" s="140" t="e">
        <f t="shared" si="10"/>
        <v>#N/A</v>
      </c>
      <c r="AD83" s="139" t="e">
        <f t="shared" si="11"/>
        <v>#N/A</v>
      </c>
      <c r="AE83" s="134" t="e">
        <f t="shared" si="11"/>
        <v>#N/A</v>
      </c>
      <c r="AF83" s="134" t="e">
        <f t="shared" si="11"/>
        <v>#N/A</v>
      </c>
      <c r="AG83" s="134" t="e">
        <f t="shared" si="11"/>
        <v>#N/A</v>
      </c>
      <c r="AH83" s="140" t="e">
        <f t="shared" si="11"/>
        <v>#N/A</v>
      </c>
      <c r="AJ83" s="30"/>
      <c r="AK83" s="30"/>
      <c r="AL83" s="30"/>
      <c r="AM83" s="30"/>
      <c r="AN83" s="30"/>
      <c r="AO83" s="30"/>
      <c r="AP83" s="30"/>
    </row>
    <row r="84" spans="1:42">
      <c r="B84" s="41" t="s">
        <v>105</v>
      </c>
      <c r="C84" s="17"/>
      <c r="D84" s="35"/>
      <c r="E84" s="82">
        <f t="shared" ref="E84:AH84" si="15">SUM(E80:E83)</f>
        <v>-117000</v>
      </c>
      <c r="F84" s="35">
        <f t="shared" si="15"/>
        <v>-132780</v>
      </c>
      <c r="G84" s="35">
        <f t="shared" si="15"/>
        <v>-148582.79999999999</v>
      </c>
      <c r="H84" s="35">
        <f t="shared" si="15"/>
        <v>-159409.07199999999</v>
      </c>
      <c r="I84" s="83">
        <f t="shared" si="15"/>
        <v>-160259.50792</v>
      </c>
      <c r="J84" s="82">
        <f t="shared" si="15"/>
        <v>-176134.82019280002</v>
      </c>
      <c r="K84" s="35">
        <f t="shared" si="15"/>
        <v>-177035.74237448801</v>
      </c>
      <c r="L84" s="35">
        <f t="shared" si="15"/>
        <v>-177963.02977314472</v>
      </c>
      <c r="M84" s="35">
        <f t="shared" si="15"/>
        <v>-178917.4600963096</v>
      </c>
      <c r="N84" s="83">
        <f t="shared" si="15"/>
        <v>-179899.8341177688</v>
      </c>
      <c r="O84" s="82">
        <f t="shared" si="15"/>
        <v>-180910.97636424319</v>
      </c>
      <c r="P84" s="35">
        <f t="shared" si="15"/>
        <v>-180910.97636424319</v>
      </c>
      <c r="Q84" s="35">
        <f t="shared" si="15"/>
        <v>-180910.97636424319</v>
      </c>
      <c r="R84" s="35">
        <f t="shared" si="15"/>
        <v>-180910.97636424319</v>
      </c>
      <c r="S84" s="83">
        <f t="shared" si="15"/>
        <v>-180910.97636424319</v>
      </c>
      <c r="T84" s="82">
        <f t="shared" si="15"/>
        <v>-181951.73582257066</v>
      </c>
      <c r="U84" s="35">
        <f t="shared" si="15"/>
        <v>-181951.73582257066</v>
      </c>
      <c r="V84" s="35">
        <f t="shared" si="15"/>
        <v>-181951.73582257066</v>
      </c>
      <c r="W84" s="35">
        <f t="shared" si="15"/>
        <v>-181951.73582257066</v>
      </c>
      <c r="X84" s="83">
        <f t="shared" si="15"/>
        <v>-181951.73582257066</v>
      </c>
      <c r="Y84" s="82" t="e">
        <f t="shared" si="15"/>
        <v>#N/A</v>
      </c>
      <c r="Z84" s="35" t="e">
        <f t="shared" si="15"/>
        <v>#N/A</v>
      </c>
      <c r="AA84" s="35" t="e">
        <f t="shared" si="15"/>
        <v>#N/A</v>
      </c>
      <c r="AB84" s="35" t="e">
        <f t="shared" si="15"/>
        <v>#N/A</v>
      </c>
      <c r="AC84" s="83" t="e">
        <f t="shared" si="15"/>
        <v>#N/A</v>
      </c>
      <c r="AD84" s="82" t="e">
        <f t="shared" si="15"/>
        <v>#N/A</v>
      </c>
      <c r="AE84" s="35" t="e">
        <f t="shared" si="15"/>
        <v>#N/A</v>
      </c>
      <c r="AF84" s="35" t="e">
        <f t="shared" si="15"/>
        <v>#N/A</v>
      </c>
      <c r="AG84" s="35" t="e">
        <f t="shared" si="15"/>
        <v>#N/A</v>
      </c>
      <c r="AH84" s="83" t="e">
        <f t="shared" si="15"/>
        <v>#N/A</v>
      </c>
      <c r="AJ84" s="30"/>
      <c r="AK84" s="30"/>
      <c r="AL84" s="30"/>
      <c r="AM84" s="30"/>
      <c r="AN84" s="30"/>
      <c r="AO84" s="30"/>
      <c r="AP84" s="30"/>
    </row>
    <row r="85" spans="1:42">
      <c r="B85" s="12"/>
      <c r="D85" s="30"/>
      <c r="E85" s="80"/>
      <c r="F85" s="30"/>
      <c r="G85" s="30"/>
      <c r="H85" s="30"/>
      <c r="I85" s="81"/>
      <c r="J85" s="80"/>
      <c r="K85" s="30"/>
      <c r="L85" s="30"/>
      <c r="M85" s="30"/>
      <c r="N85" s="81"/>
      <c r="O85" s="80"/>
      <c r="P85" s="30"/>
      <c r="Q85" s="30"/>
      <c r="R85" s="30"/>
      <c r="S85" s="81"/>
      <c r="T85" s="80"/>
      <c r="U85" s="30"/>
      <c r="V85" s="30"/>
      <c r="W85" s="30"/>
      <c r="X85" s="81"/>
      <c r="Y85" s="80"/>
      <c r="Z85" s="30"/>
      <c r="AA85" s="30"/>
      <c r="AB85" s="30"/>
      <c r="AC85" s="81"/>
      <c r="AD85" s="80"/>
      <c r="AE85" s="30"/>
      <c r="AF85" s="30"/>
      <c r="AG85" s="30"/>
      <c r="AH85" s="81"/>
      <c r="AJ85" s="30"/>
      <c r="AK85" s="30"/>
      <c r="AL85" s="30"/>
      <c r="AM85" s="30"/>
      <c r="AN85" s="30"/>
      <c r="AO85" s="30"/>
      <c r="AP85" s="30"/>
    </row>
    <row r="86" spans="1:42">
      <c r="B86" s="41" t="s">
        <v>88</v>
      </c>
      <c r="C86" s="17"/>
      <c r="D86" s="35"/>
      <c r="E86" s="135">
        <f t="shared" ref="E86:N86" si="16">IF(E$105="X",E32,NA())</f>
        <v>0</v>
      </c>
      <c r="F86" s="47">
        <f t="shared" si="16"/>
        <v>0</v>
      </c>
      <c r="G86" s="47">
        <f t="shared" si="16"/>
        <v>0</v>
      </c>
      <c r="H86" s="47">
        <f t="shared" si="16"/>
        <v>0</v>
      </c>
      <c r="I86" s="136">
        <f t="shared" si="16"/>
        <v>0</v>
      </c>
      <c r="J86" s="135">
        <f t="shared" si="16"/>
        <v>0</v>
      </c>
      <c r="K86" s="47">
        <f t="shared" si="16"/>
        <v>0</v>
      </c>
      <c r="L86" s="47">
        <f t="shared" si="16"/>
        <v>0</v>
      </c>
      <c r="M86" s="47">
        <f t="shared" si="16"/>
        <v>0</v>
      </c>
      <c r="N86" s="136">
        <f t="shared" si="16"/>
        <v>0</v>
      </c>
      <c r="O86" s="135">
        <f>IF(O$105="X",$O32,NA())</f>
        <v>0</v>
      </c>
      <c r="P86" s="47">
        <f>IF(P$105="X",$O32,NA())</f>
        <v>0</v>
      </c>
      <c r="Q86" s="47">
        <f>IF(Q$105="X",$O32,NA())</f>
        <v>0</v>
      </c>
      <c r="R86" s="47">
        <f>IF(R$105="X",$O32,NA())</f>
        <v>0</v>
      </c>
      <c r="S86" s="136">
        <f>IF(S$105="X",$O32,NA())</f>
        <v>0</v>
      </c>
      <c r="T86" s="135">
        <f>IF(T$105="X",$P32,NA())</f>
        <v>0</v>
      </c>
      <c r="U86" s="47">
        <f>IF(U$105="X",$P32,NA())</f>
        <v>0</v>
      </c>
      <c r="V86" s="47">
        <f>IF(V$105="X",$P32,NA())</f>
        <v>0</v>
      </c>
      <c r="W86" s="47">
        <f>IF(W$105="X",$P32,NA())</f>
        <v>0</v>
      </c>
      <c r="X86" s="136">
        <f>IF(X$105="X",$P32,NA())</f>
        <v>0</v>
      </c>
      <c r="Y86" s="135" t="e">
        <f>IF(Y$105="X",$Q32,NA())</f>
        <v>#N/A</v>
      </c>
      <c r="Z86" s="47" t="e">
        <f>IF(Z$105="X",$Q32,NA())</f>
        <v>#N/A</v>
      </c>
      <c r="AA86" s="47" t="e">
        <f>IF(AA$105="X",$Q32,NA())</f>
        <v>#N/A</v>
      </c>
      <c r="AB86" s="47" t="e">
        <f>IF(AB$105="X",$Q32,NA())</f>
        <v>#N/A</v>
      </c>
      <c r="AC86" s="136" t="e">
        <f>IF(AC$105="X",$Q32,NA())</f>
        <v>#N/A</v>
      </c>
      <c r="AD86" s="135" t="e">
        <f>IF(AD$105="X",$R32,NA())</f>
        <v>#N/A</v>
      </c>
      <c r="AE86" s="47" t="e">
        <f>IF(AE$105="X",$R32,NA())</f>
        <v>#N/A</v>
      </c>
      <c r="AF86" s="47" t="e">
        <f>IF(AF$105="X",$R32,NA())</f>
        <v>#N/A</v>
      </c>
      <c r="AG86" s="47" t="e">
        <f>IF(AG$105="X",$R32,NA())</f>
        <v>#N/A</v>
      </c>
      <c r="AH86" s="136" t="e">
        <f>IF(AH$105="X",$R32,NA())</f>
        <v>#N/A</v>
      </c>
      <c r="AJ86" s="30"/>
      <c r="AK86" s="30"/>
      <c r="AL86" s="30"/>
      <c r="AM86" s="30"/>
      <c r="AN86" s="30"/>
      <c r="AO86" s="30"/>
      <c r="AP86" s="30"/>
    </row>
    <row r="87" spans="1:42">
      <c r="B87" s="12"/>
      <c r="D87" s="30"/>
      <c r="E87" s="80"/>
      <c r="F87" s="30"/>
      <c r="G87" s="30"/>
      <c r="H87" s="30"/>
      <c r="I87" s="81"/>
      <c r="J87" s="80"/>
      <c r="K87" s="30"/>
      <c r="L87" s="30"/>
      <c r="M87" s="30"/>
      <c r="N87" s="81"/>
      <c r="O87" s="80"/>
      <c r="P87" s="30"/>
      <c r="Q87" s="30"/>
      <c r="R87" s="30"/>
      <c r="S87" s="81"/>
      <c r="T87" s="80"/>
      <c r="U87" s="30"/>
      <c r="V87" s="30"/>
      <c r="W87" s="30"/>
      <c r="X87" s="81"/>
      <c r="Y87" s="80"/>
      <c r="Z87" s="30"/>
      <c r="AA87" s="30"/>
      <c r="AB87" s="30"/>
      <c r="AC87" s="81"/>
      <c r="AD87" s="80"/>
      <c r="AE87" s="30"/>
      <c r="AF87" s="30"/>
      <c r="AG87" s="30"/>
      <c r="AH87" s="81"/>
      <c r="AJ87" s="30"/>
      <c r="AK87" s="30"/>
      <c r="AL87" s="30"/>
      <c r="AM87" s="30"/>
      <c r="AN87" s="30"/>
      <c r="AO87" s="30"/>
      <c r="AP87" s="30"/>
    </row>
    <row r="88" spans="1:42">
      <c r="A88" s="132"/>
      <c r="B88" s="41" t="s">
        <v>109</v>
      </c>
      <c r="C88" s="17"/>
      <c r="D88" s="35"/>
      <c r="E88" s="82">
        <f t="shared" ref="E88:AH88" si="17">E84+E86</f>
        <v>-117000</v>
      </c>
      <c r="F88" s="35">
        <f t="shared" si="17"/>
        <v>-132780</v>
      </c>
      <c r="G88" s="35">
        <f t="shared" si="17"/>
        <v>-148582.79999999999</v>
      </c>
      <c r="H88" s="35">
        <f t="shared" si="17"/>
        <v>-159409.07199999999</v>
      </c>
      <c r="I88" s="83">
        <f t="shared" si="17"/>
        <v>-160259.50792</v>
      </c>
      <c r="J88" s="82">
        <f t="shared" si="17"/>
        <v>-176134.82019280002</v>
      </c>
      <c r="K88" s="35">
        <f t="shared" si="17"/>
        <v>-177035.74237448801</v>
      </c>
      <c r="L88" s="35">
        <f t="shared" si="17"/>
        <v>-177963.02977314472</v>
      </c>
      <c r="M88" s="35">
        <f t="shared" si="17"/>
        <v>-178917.4600963096</v>
      </c>
      <c r="N88" s="83">
        <f t="shared" si="17"/>
        <v>-179899.8341177688</v>
      </c>
      <c r="O88" s="82">
        <f t="shared" si="17"/>
        <v>-180910.97636424319</v>
      </c>
      <c r="P88" s="35">
        <f t="shared" si="17"/>
        <v>-180910.97636424319</v>
      </c>
      <c r="Q88" s="35">
        <f t="shared" si="17"/>
        <v>-180910.97636424319</v>
      </c>
      <c r="R88" s="35">
        <f t="shared" si="17"/>
        <v>-180910.97636424319</v>
      </c>
      <c r="S88" s="83">
        <f t="shared" si="17"/>
        <v>-180910.97636424319</v>
      </c>
      <c r="T88" s="82">
        <f t="shared" si="17"/>
        <v>-181951.73582257066</v>
      </c>
      <c r="U88" s="35">
        <f t="shared" si="17"/>
        <v>-181951.73582257066</v>
      </c>
      <c r="V88" s="35">
        <f t="shared" si="17"/>
        <v>-181951.73582257066</v>
      </c>
      <c r="W88" s="35">
        <f t="shared" si="17"/>
        <v>-181951.73582257066</v>
      </c>
      <c r="X88" s="83">
        <f t="shared" si="17"/>
        <v>-181951.73582257066</v>
      </c>
      <c r="Y88" s="82" t="e">
        <f t="shared" si="17"/>
        <v>#N/A</v>
      </c>
      <c r="Z88" s="35" t="e">
        <f t="shared" si="17"/>
        <v>#N/A</v>
      </c>
      <c r="AA88" s="35" t="e">
        <f t="shared" si="17"/>
        <v>#N/A</v>
      </c>
      <c r="AB88" s="35" t="e">
        <f t="shared" si="17"/>
        <v>#N/A</v>
      </c>
      <c r="AC88" s="83" t="e">
        <f t="shared" si="17"/>
        <v>#N/A</v>
      </c>
      <c r="AD88" s="82" t="e">
        <f t="shared" si="17"/>
        <v>#N/A</v>
      </c>
      <c r="AE88" s="35" t="e">
        <f t="shared" si="17"/>
        <v>#N/A</v>
      </c>
      <c r="AF88" s="35" t="e">
        <f t="shared" si="17"/>
        <v>#N/A</v>
      </c>
      <c r="AG88" s="35" t="e">
        <f t="shared" si="17"/>
        <v>#N/A</v>
      </c>
      <c r="AH88" s="83" t="e">
        <f t="shared" si="17"/>
        <v>#N/A</v>
      </c>
      <c r="AJ88" s="30"/>
      <c r="AK88" s="30"/>
      <c r="AL88" s="30"/>
      <c r="AM88" s="30"/>
      <c r="AN88" s="30"/>
      <c r="AO88" s="30"/>
      <c r="AP88" s="30"/>
    </row>
    <row r="89" spans="1:42">
      <c r="D89" s="30"/>
      <c r="E89" s="80"/>
      <c r="F89" s="30"/>
      <c r="G89" s="30"/>
      <c r="H89" s="30"/>
      <c r="I89" s="81"/>
      <c r="J89" s="80"/>
      <c r="K89" s="30"/>
      <c r="L89" s="30"/>
      <c r="M89" s="30"/>
      <c r="N89" s="81"/>
      <c r="O89" s="80"/>
      <c r="P89" s="30"/>
      <c r="Q89" s="30"/>
      <c r="R89" s="30"/>
      <c r="S89" s="81"/>
      <c r="T89" s="80"/>
      <c r="U89" s="30"/>
      <c r="V89" s="30"/>
      <c r="W89" s="30"/>
      <c r="X89" s="81"/>
      <c r="Y89" s="80"/>
      <c r="Z89" s="30"/>
      <c r="AA89" s="30"/>
      <c r="AB89" s="30"/>
      <c r="AC89" s="81"/>
      <c r="AD89" s="80"/>
      <c r="AE89" s="30"/>
      <c r="AF89" s="30"/>
      <c r="AG89" s="30"/>
      <c r="AH89" s="81"/>
      <c r="AJ89" s="30"/>
      <c r="AK89" s="30"/>
      <c r="AL89" s="30"/>
      <c r="AM89" s="30"/>
      <c r="AN89" s="30"/>
      <c r="AO89" s="30"/>
      <c r="AP89" s="30"/>
    </row>
    <row r="90" spans="1:42">
      <c r="B90" s="20" t="s">
        <v>111</v>
      </c>
      <c r="C90" s="17"/>
      <c r="D90" s="142">
        <f>$D$20</f>
        <v>-450000</v>
      </c>
      <c r="E90" s="82">
        <f t="shared" ref="E90:AH90" si="18">+E77+E88</f>
        <v>-112000</v>
      </c>
      <c r="F90" s="35">
        <f t="shared" si="18"/>
        <v>-127780</v>
      </c>
      <c r="G90" s="35">
        <f t="shared" si="18"/>
        <v>1417.2000000000116</v>
      </c>
      <c r="H90" s="35">
        <f t="shared" si="18"/>
        <v>-9409.0719999999856</v>
      </c>
      <c r="I90" s="83">
        <f t="shared" si="18"/>
        <v>67240.492079999996</v>
      </c>
      <c r="J90" s="82">
        <f t="shared" si="18"/>
        <v>51365.17980719998</v>
      </c>
      <c r="K90" s="35">
        <f t="shared" si="18"/>
        <v>50464.257625511993</v>
      </c>
      <c r="L90" s="35">
        <f t="shared" si="18"/>
        <v>117036.97022685528</v>
      </c>
      <c r="M90" s="35">
        <f t="shared" si="18"/>
        <v>116082.5399036904</v>
      </c>
      <c r="N90" s="83">
        <f t="shared" si="18"/>
        <v>115100.1658822312</v>
      </c>
      <c r="O90" s="82">
        <f t="shared" si="18"/>
        <v>114089.02363575681</v>
      </c>
      <c r="P90" s="35">
        <f t="shared" si="18"/>
        <v>114089.02363575681</v>
      </c>
      <c r="Q90" s="35">
        <f t="shared" si="18"/>
        <v>114089.02363575681</v>
      </c>
      <c r="R90" s="35">
        <f t="shared" si="18"/>
        <v>114089.02363575681</v>
      </c>
      <c r="S90" s="83">
        <f t="shared" si="18"/>
        <v>114089.02363575681</v>
      </c>
      <c r="T90" s="82">
        <f t="shared" si="18"/>
        <v>113048.26417742934</v>
      </c>
      <c r="U90" s="35">
        <f t="shared" si="18"/>
        <v>113048.26417742934</v>
      </c>
      <c r="V90" s="35">
        <f t="shared" si="18"/>
        <v>113048.26417742934</v>
      </c>
      <c r="W90" s="35">
        <f t="shared" si="18"/>
        <v>113048.26417742934</v>
      </c>
      <c r="X90" s="83">
        <f t="shared" si="18"/>
        <v>113048.26417742934</v>
      </c>
      <c r="Y90" s="82" t="e">
        <f t="shared" si="18"/>
        <v>#N/A</v>
      </c>
      <c r="Z90" s="35" t="e">
        <f t="shared" si="18"/>
        <v>#N/A</v>
      </c>
      <c r="AA90" s="35" t="e">
        <f t="shared" si="18"/>
        <v>#N/A</v>
      </c>
      <c r="AB90" s="35" t="e">
        <f t="shared" si="18"/>
        <v>#N/A</v>
      </c>
      <c r="AC90" s="83" t="e">
        <f t="shared" si="18"/>
        <v>#N/A</v>
      </c>
      <c r="AD90" s="82" t="e">
        <f t="shared" si="18"/>
        <v>#N/A</v>
      </c>
      <c r="AE90" s="35" t="e">
        <f t="shared" si="18"/>
        <v>#N/A</v>
      </c>
      <c r="AF90" s="35" t="e">
        <f t="shared" si="18"/>
        <v>#N/A</v>
      </c>
      <c r="AG90" s="35" t="e">
        <f t="shared" si="18"/>
        <v>#N/A</v>
      </c>
      <c r="AH90" s="83" t="e">
        <f t="shared" si="18"/>
        <v>#N/A</v>
      </c>
    </row>
    <row r="91" spans="1:42" ht="15" thickBot="1">
      <c r="B91" s="22" t="s">
        <v>112</v>
      </c>
      <c r="C91" s="20"/>
      <c r="D91" s="142">
        <f>$D$20</f>
        <v>-450000</v>
      </c>
      <c r="E91" s="84">
        <f t="shared" ref="E91:AH91" si="19">IF(E105="X",D91+E90,NA())</f>
        <v>-562000</v>
      </c>
      <c r="F91" s="85">
        <f t="shared" si="19"/>
        <v>-689780</v>
      </c>
      <c r="G91" s="85">
        <f t="shared" si="19"/>
        <v>-688362.8</v>
      </c>
      <c r="H91" s="85">
        <f t="shared" si="19"/>
        <v>-697771.87199999997</v>
      </c>
      <c r="I91" s="86">
        <f t="shared" si="19"/>
        <v>-630531.37991999998</v>
      </c>
      <c r="J91" s="84">
        <f t="shared" si="19"/>
        <v>-579166.2001128</v>
      </c>
      <c r="K91" s="85">
        <f t="shared" si="19"/>
        <v>-528701.94248728803</v>
      </c>
      <c r="L91" s="85">
        <f t="shared" si="19"/>
        <v>-411664.97226043278</v>
      </c>
      <c r="M91" s="85">
        <f t="shared" si="19"/>
        <v>-295582.43235674239</v>
      </c>
      <c r="N91" s="86">
        <f t="shared" si="19"/>
        <v>-180482.26647451118</v>
      </c>
      <c r="O91" s="84">
        <f t="shared" si="19"/>
        <v>-66393.242838754377</v>
      </c>
      <c r="P91" s="85">
        <f t="shared" si="19"/>
        <v>47695.78079700243</v>
      </c>
      <c r="Q91" s="85">
        <f t="shared" si="19"/>
        <v>161784.80443275924</v>
      </c>
      <c r="R91" s="85">
        <f t="shared" si="19"/>
        <v>275873.82806851604</v>
      </c>
      <c r="S91" s="86">
        <f t="shared" si="19"/>
        <v>389962.85170427285</v>
      </c>
      <c r="T91" s="84">
        <f t="shared" si="19"/>
        <v>503011.11588170216</v>
      </c>
      <c r="U91" s="85">
        <f t="shared" si="19"/>
        <v>616059.38005913154</v>
      </c>
      <c r="V91" s="85">
        <f t="shared" si="19"/>
        <v>729107.64423656091</v>
      </c>
      <c r="W91" s="85">
        <f t="shared" si="19"/>
        <v>842155.90841399028</v>
      </c>
      <c r="X91" s="86">
        <f t="shared" si="19"/>
        <v>955204.17259141966</v>
      </c>
      <c r="Y91" s="84" t="e">
        <f t="shared" si="19"/>
        <v>#N/A</v>
      </c>
      <c r="Z91" s="85" t="e">
        <f t="shared" si="19"/>
        <v>#N/A</v>
      </c>
      <c r="AA91" s="85" t="e">
        <f t="shared" si="19"/>
        <v>#N/A</v>
      </c>
      <c r="AB91" s="85" t="e">
        <f t="shared" si="19"/>
        <v>#N/A</v>
      </c>
      <c r="AC91" s="86" t="e">
        <f t="shared" si="19"/>
        <v>#N/A</v>
      </c>
      <c r="AD91" s="84" t="e">
        <f t="shared" si="19"/>
        <v>#N/A</v>
      </c>
      <c r="AE91" s="85" t="e">
        <f t="shared" si="19"/>
        <v>#N/A</v>
      </c>
      <c r="AF91" s="85" t="e">
        <f t="shared" si="19"/>
        <v>#N/A</v>
      </c>
      <c r="AG91" s="85" t="e">
        <f t="shared" si="19"/>
        <v>#N/A</v>
      </c>
      <c r="AH91" s="86" t="e">
        <f t="shared" si="19"/>
        <v>#N/A</v>
      </c>
    </row>
    <row r="92" spans="1:42">
      <c r="D92" s="49"/>
      <c r="AI92" s="96"/>
    </row>
    <row r="93" spans="1:42">
      <c r="B93" s="147" t="s">
        <v>115</v>
      </c>
      <c r="C93" s="145"/>
      <c r="D93" s="146"/>
      <c r="E93" s="27">
        <v>1</v>
      </c>
      <c r="F93" s="27">
        <v>2</v>
      </c>
      <c r="G93" s="27">
        <v>3</v>
      </c>
      <c r="H93" s="27">
        <v>4</v>
      </c>
      <c r="I93" s="27">
        <v>5</v>
      </c>
      <c r="J93" s="27">
        <v>6</v>
      </c>
      <c r="K93" s="27">
        <v>7</v>
      </c>
      <c r="L93" s="27">
        <v>8</v>
      </c>
      <c r="M93" s="27">
        <v>9</v>
      </c>
      <c r="N93" s="27">
        <v>10</v>
      </c>
      <c r="O93" s="27">
        <v>11</v>
      </c>
      <c r="P93" s="27">
        <v>12</v>
      </c>
      <c r="Q93" s="27">
        <v>13</v>
      </c>
      <c r="R93" s="27">
        <v>14</v>
      </c>
      <c r="S93" s="27">
        <v>15</v>
      </c>
      <c r="T93" s="27">
        <v>16</v>
      </c>
      <c r="U93" s="27">
        <v>17</v>
      </c>
      <c r="V93" s="27">
        <v>18</v>
      </c>
      <c r="W93" s="27">
        <v>19</v>
      </c>
      <c r="X93" s="27">
        <v>20</v>
      </c>
      <c r="Y93" s="27">
        <v>21</v>
      </c>
      <c r="Z93" s="27">
        <v>22</v>
      </c>
      <c r="AA93" s="27">
        <v>23</v>
      </c>
      <c r="AB93" s="27">
        <v>24</v>
      </c>
      <c r="AC93" s="27">
        <v>25</v>
      </c>
      <c r="AD93" s="27">
        <v>26</v>
      </c>
      <c r="AE93" s="27">
        <v>27</v>
      </c>
      <c r="AF93" s="27">
        <v>28</v>
      </c>
      <c r="AG93" s="27">
        <v>29</v>
      </c>
      <c r="AH93" s="27">
        <v>30</v>
      </c>
      <c r="AI93" s="96"/>
      <c r="AJ93" s="30"/>
      <c r="AK93" s="30"/>
      <c r="AL93" s="30"/>
      <c r="AM93" s="30"/>
      <c r="AN93" s="30"/>
      <c r="AO93" s="30"/>
      <c r="AP93" s="30"/>
    </row>
    <row r="94" spans="1:42">
      <c r="B94" s="20" t="s">
        <v>116</v>
      </c>
      <c r="C94" s="17"/>
      <c r="D94" s="143">
        <f>$D$20</f>
        <v>-450000</v>
      </c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96"/>
      <c r="AJ94" s="30"/>
      <c r="AK94" s="30"/>
      <c r="AL94" s="30"/>
      <c r="AM94" s="30"/>
      <c r="AN94" s="30"/>
      <c r="AO94" s="30"/>
      <c r="AP94" s="30"/>
    </row>
    <row r="95" spans="1:42">
      <c r="B95" s="20" t="s">
        <v>111</v>
      </c>
      <c r="C95" s="17"/>
      <c r="D95" s="33"/>
      <c r="E95" s="47">
        <f t="shared" ref="E95:AH95" si="20">E96</f>
        <v>-112000</v>
      </c>
      <c r="F95" s="47">
        <f t="shared" si="20"/>
        <v>-127780</v>
      </c>
      <c r="G95" s="47">
        <f t="shared" si="20"/>
        <v>1417.2000000000116</v>
      </c>
      <c r="H95" s="47">
        <f t="shared" si="20"/>
        <v>-9409.0719999999856</v>
      </c>
      <c r="I95" s="47">
        <f t="shared" si="20"/>
        <v>67240.492079999996</v>
      </c>
      <c r="J95" s="47">
        <f t="shared" si="20"/>
        <v>51365.17980719998</v>
      </c>
      <c r="K95" s="47">
        <f t="shared" si="20"/>
        <v>50464.257625511993</v>
      </c>
      <c r="L95" s="47">
        <f t="shared" si="20"/>
        <v>117036.97022685528</v>
      </c>
      <c r="M95" s="47">
        <f t="shared" si="20"/>
        <v>116082.5399036904</v>
      </c>
      <c r="N95" s="47">
        <f t="shared" si="20"/>
        <v>115100.1658822312</v>
      </c>
      <c r="O95" s="47">
        <f t="shared" si="20"/>
        <v>114089.02363575681</v>
      </c>
      <c r="P95" s="47">
        <f t="shared" si="20"/>
        <v>114089.02363575681</v>
      </c>
      <c r="Q95" s="47">
        <f t="shared" si="20"/>
        <v>114089.02363575681</v>
      </c>
      <c r="R95" s="47">
        <f t="shared" si="20"/>
        <v>114089.02363575681</v>
      </c>
      <c r="S95" s="47">
        <f t="shared" si="20"/>
        <v>114089.02363575681</v>
      </c>
      <c r="T95" s="47">
        <f t="shared" si="20"/>
        <v>113048.26417742934</v>
      </c>
      <c r="U95" s="47">
        <f t="shared" si="20"/>
        <v>113048.26417742934</v>
      </c>
      <c r="V95" s="47">
        <f t="shared" si="20"/>
        <v>113048.26417742934</v>
      </c>
      <c r="W95" s="47">
        <f t="shared" si="20"/>
        <v>113048.26417742934</v>
      </c>
      <c r="X95" s="47">
        <f t="shared" si="20"/>
        <v>113048.26417742934</v>
      </c>
      <c r="Y95" s="47" t="e">
        <f t="shared" si="20"/>
        <v>#N/A</v>
      </c>
      <c r="Z95" s="47" t="e">
        <f t="shared" si="20"/>
        <v>#N/A</v>
      </c>
      <c r="AA95" s="47" t="e">
        <f t="shared" si="20"/>
        <v>#N/A</v>
      </c>
      <c r="AB95" s="47" t="e">
        <f t="shared" si="20"/>
        <v>#N/A</v>
      </c>
      <c r="AC95" s="47" t="e">
        <f t="shared" si="20"/>
        <v>#N/A</v>
      </c>
      <c r="AD95" s="47" t="e">
        <f t="shared" si="20"/>
        <v>#N/A</v>
      </c>
      <c r="AE95" s="47" t="e">
        <f t="shared" si="20"/>
        <v>#N/A</v>
      </c>
      <c r="AF95" s="47" t="e">
        <f t="shared" si="20"/>
        <v>#N/A</v>
      </c>
      <c r="AG95" s="47" t="e">
        <f t="shared" si="20"/>
        <v>#N/A</v>
      </c>
      <c r="AH95" s="47" t="e">
        <f t="shared" si="20"/>
        <v>#N/A</v>
      </c>
      <c r="AI95" s="95" t="e">
        <f>AH95</f>
        <v>#N/A</v>
      </c>
      <c r="AJ95" s="30"/>
      <c r="AK95" s="30"/>
      <c r="AL95" s="30"/>
      <c r="AM95" s="30"/>
      <c r="AN95" s="30"/>
      <c r="AO95" s="30"/>
      <c r="AP95" s="30"/>
    </row>
    <row r="96" spans="1:42">
      <c r="B96" s="20" t="s">
        <v>117</v>
      </c>
      <c r="C96" s="17"/>
      <c r="D96" s="143">
        <f>$D$94</f>
        <v>-450000</v>
      </c>
      <c r="E96" s="47">
        <f t="shared" ref="E96:AH96" si="21">IF(E105="X",E90,NA())</f>
        <v>-112000</v>
      </c>
      <c r="F96" s="47">
        <f t="shared" si="21"/>
        <v>-127780</v>
      </c>
      <c r="G96" s="47">
        <f t="shared" si="21"/>
        <v>1417.2000000000116</v>
      </c>
      <c r="H96" s="47">
        <f t="shared" si="21"/>
        <v>-9409.0719999999856</v>
      </c>
      <c r="I96" s="47">
        <f t="shared" si="21"/>
        <v>67240.492079999996</v>
      </c>
      <c r="J96" s="47">
        <f t="shared" si="21"/>
        <v>51365.17980719998</v>
      </c>
      <c r="K96" s="47">
        <f t="shared" si="21"/>
        <v>50464.257625511993</v>
      </c>
      <c r="L96" s="47">
        <f t="shared" si="21"/>
        <v>117036.97022685528</v>
      </c>
      <c r="M96" s="47">
        <f t="shared" si="21"/>
        <v>116082.5399036904</v>
      </c>
      <c r="N96" s="47">
        <f t="shared" si="21"/>
        <v>115100.1658822312</v>
      </c>
      <c r="O96" s="47">
        <f t="shared" si="21"/>
        <v>114089.02363575681</v>
      </c>
      <c r="P96" s="47">
        <f t="shared" si="21"/>
        <v>114089.02363575681</v>
      </c>
      <c r="Q96" s="47">
        <f t="shared" si="21"/>
        <v>114089.02363575681</v>
      </c>
      <c r="R96" s="47">
        <f t="shared" si="21"/>
        <v>114089.02363575681</v>
      </c>
      <c r="S96" s="47">
        <f t="shared" si="21"/>
        <v>114089.02363575681</v>
      </c>
      <c r="T96" s="47">
        <f t="shared" si="21"/>
        <v>113048.26417742934</v>
      </c>
      <c r="U96" s="47">
        <f t="shared" si="21"/>
        <v>113048.26417742934</v>
      </c>
      <c r="V96" s="47">
        <f t="shared" si="21"/>
        <v>113048.26417742934</v>
      </c>
      <c r="W96" s="47">
        <f t="shared" si="21"/>
        <v>113048.26417742934</v>
      </c>
      <c r="X96" s="47">
        <f t="shared" si="21"/>
        <v>113048.26417742934</v>
      </c>
      <c r="Y96" s="47" t="e">
        <f t="shared" si="21"/>
        <v>#N/A</v>
      </c>
      <c r="Z96" s="47" t="e">
        <f t="shared" si="21"/>
        <v>#N/A</v>
      </c>
      <c r="AA96" s="47" t="e">
        <f t="shared" si="21"/>
        <v>#N/A</v>
      </c>
      <c r="AB96" s="47" t="e">
        <f t="shared" si="21"/>
        <v>#N/A</v>
      </c>
      <c r="AC96" s="47" t="e">
        <f t="shared" si="21"/>
        <v>#N/A</v>
      </c>
      <c r="AD96" s="47" t="e">
        <f t="shared" si="21"/>
        <v>#N/A</v>
      </c>
      <c r="AE96" s="47" t="e">
        <f t="shared" si="21"/>
        <v>#N/A</v>
      </c>
      <c r="AF96" s="47" t="e">
        <f t="shared" si="21"/>
        <v>#N/A</v>
      </c>
      <c r="AG96" s="47" t="e">
        <f t="shared" si="21"/>
        <v>#N/A</v>
      </c>
      <c r="AH96" s="47" t="e">
        <f t="shared" si="21"/>
        <v>#N/A</v>
      </c>
      <c r="AI96" s="95" t="e">
        <f>AH96</f>
        <v>#N/A</v>
      </c>
      <c r="AJ96" s="30"/>
      <c r="AK96" s="30"/>
      <c r="AL96" s="30"/>
      <c r="AM96" s="30"/>
      <c r="AN96" s="30"/>
      <c r="AO96" s="30"/>
      <c r="AP96" s="30"/>
    </row>
    <row r="97" spans="2:35">
      <c r="B97" s="20" t="s">
        <v>118</v>
      </c>
      <c r="C97" s="17"/>
      <c r="D97" s="143">
        <f>$D$94</f>
        <v>-450000</v>
      </c>
      <c r="E97" s="47">
        <f t="shared" ref="E97:AH97" si="22">E96+D97</f>
        <v>-562000</v>
      </c>
      <c r="F97" s="47">
        <f t="shared" si="22"/>
        <v>-689780</v>
      </c>
      <c r="G97" s="47">
        <f t="shared" si="22"/>
        <v>-688362.8</v>
      </c>
      <c r="H97" s="47">
        <f t="shared" si="22"/>
        <v>-697771.87199999997</v>
      </c>
      <c r="I97" s="47">
        <f t="shared" si="22"/>
        <v>-630531.37991999998</v>
      </c>
      <c r="J97" s="47">
        <f t="shared" si="22"/>
        <v>-579166.2001128</v>
      </c>
      <c r="K97" s="47">
        <f t="shared" si="22"/>
        <v>-528701.94248728803</v>
      </c>
      <c r="L97" s="47">
        <f t="shared" si="22"/>
        <v>-411664.97226043278</v>
      </c>
      <c r="M97" s="47">
        <f t="shared" si="22"/>
        <v>-295582.43235674239</v>
      </c>
      <c r="N97" s="47">
        <f t="shared" si="22"/>
        <v>-180482.26647451118</v>
      </c>
      <c r="O97" s="47">
        <f t="shared" si="22"/>
        <v>-66393.242838754377</v>
      </c>
      <c r="P97" s="47">
        <f t="shared" si="22"/>
        <v>47695.78079700243</v>
      </c>
      <c r="Q97" s="47">
        <f t="shared" si="22"/>
        <v>161784.80443275924</v>
      </c>
      <c r="R97" s="47">
        <f t="shared" si="22"/>
        <v>275873.82806851604</v>
      </c>
      <c r="S97" s="47">
        <f t="shared" si="22"/>
        <v>389962.85170427285</v>
      </c>
      <c r="T97" s="47">
        <f t="shared" si="22"/>
        <v>503011.11588170216</v>
      </c>
      <c r="U97" s="47">
        <f t="shared" si="22"/>
        <v>616059.38005913154</v>
      </c>
      <c r="V97" s="47">
        <f t="shared" si="22"/>
        <v>729107.64423656091</v>
      </c>
      <c r="W97" s="47">
        <f t="shared" si="22"/>
        <v>842155.90841399028</v>
      </c>
      <c r="X97" s="47">
        <f t="shared" si="22"/>
        <v>955204.17259141966</v>
      </c>
      <c r="Y97" s="47" t="e">
        <f t="shared" si="22"/>
        <v>#N/A</v>
      </c>
      <c r="Z97" s="47" t="e">
        <f t="shared" si="22"/>
        <v>#N/A</v>
      </c>
      <c r="AA97" s="47" t="e">
        <f t="shared" si="22"/>
        <v>#N/A</v>
      </c>
      <c r="AB97" s="47" t="e">
        <f t="shared" si="22"/>
        <v>#N/A</v>
      </c>
      <c r="AC97" s="47" t="e">
        <f t="shared" si="22"/>
        <v>#N/A</v>
      </c>
      <c r="AD97" s="47" t="e">
        <f t="shared" si="22"/>
        <v>#N/A</v>
      </c>
      <c r="AE97" s="47" t="e">
        <f t="shared" si="22"/>
        <v>#N/A</v>
      </c>
      <c r="AF97" s="47" t="e">
        <f t="shared" si="22"/>
        <v>#N/A</v>
      </c>
      <c r="AG97" s="47" t="e">
        <f t="shared" si="22"/>
        <v>#N/A</v>
      </c>
      <c r="AH97" s="47" t="e">
        <f t="shared" si="22"/>
        <v>#N/A</v>
      </c>
      <c r="AI97" s="96"/>
    </row>
    <row r="98" spans="2:35">
      <c r="B98" s="20" t="s">
        <v>119</v>
      </c>
      <c r="C98" s="17"/>
      <c r="D98" s="143">
        <f>$D$94</f>
        <v>-450000</v>
      </c>
      <c r="E98" s="47">
        <f>IF(E105="X",NPV($D$18,$E$96:E96)+$D$98,NA())</f>
        <v>-551818.18181818177</v>
      </c>
      <c r="F98" s="47">
        <f>IF(F105="X",NPV($D$18,$E$96:F96)+$D$98,NA())</f>
        <v>-657421.48760330572</v>
      </c>
      <c r="G98" s="47">
        <f>IF(G105="X",NPV($D$18,$E$96:G96)+$D$98,NA())</f>
        <v>-656356.72426746809</v>
      </c>
      <c r="H98" s="47">
        <f>IF(H105="X",NPV($D$18,$E$96:H96)+$D$98,NA())</f>
        <v>-662783.2470459668</v>
      </c>
      <c r="I98" s="47">
        <f>IF(I105="X",NPV($D$18,$E$96:I96)+$D$98,NA())</f>
        <v>-621032.19174050458</v>
      </c>
      <c r="J98" s="47">
        <f>IF(J105="X",NPV($D$18,$E$96:J96)+$D$98,NA())</f>
        <v>-592037.88682681543</v>
      </c>
      <c r="K98" s="47">
        <f>IF(K105="X",NPV($D$18,$E$96:K96)+$D$98,NA())</f>
        <v>-566141.74334579811</v>
      </c>
      <c r="L98" s="47">
        <f>IF(L105="X",NPV($D$18,$E$96:L96)+$D$98,NA())</f>
        <v>-511543.13297758339</v>
      </c>
      <c r="M98" s="47">
        <f>IF(M105="X",NPV($D$18,$E$96:M96)+$D$98,NA())</f>
        <v>-462312.80426979938</v>
      </c>
      <c r="N98" s="47">
        <f>IF(N105="X",NPV($D$18,$E$96:N96)+$D$98,NA())</f>
        <v>-417936.7077016792</v>
      </c>
      <c r="O98" s="47">
        <f>IF(O105="X",NPV($D$18,$E$96:O96)+$D$98,NA())</f>
        <v>-377949.20091955812</v>
      </c>
      <c r="P98" s="47">
        <f>IF(P105="X",NPV($D$18,$E$96:P96)+$D$98,NA())</f>
        <v>-341596.92202672071</v>
      </c>
      <c r="Q98" s="47">
        <f>IF(Q105="X",NPV($D$18,$E$96:Q96)+$D$98,NA())</f>
        <v>-308549.39576050499</v>
      </c>
      <c r="R98" s="47">
        <f>IF(R105="X",NPV($D$18,$E$96:R96)+$D$98,NA())</f>
        <v>-278506.19006394513</v>
      </c>
      <c r="S98" s="47">
        <f>IF(S105="X",NPV($D$18,$E$96:S96)+$D$98,NA())</f>
        <v>-251194.18488525442</v>
      </c>
      <c r="T98" s="47">
        <f>IF(T105="X",NPV($D$18,$E$96:T96)+$D$98,NA())</f>
        <v>-226591.58884974406</v>
      </c>
      <c r="U98" s="47">
        <f>IF(U105="X",NPV($D$18,$E$96:U96)+$D$98,NA())</f>
        <v>-204225.59245382558</v>
      </c>
      <c r="V98" s="47">
        <f>IF(V105="X",NPV($D$18,$E$96:V96)+$D$98,NA())</f>
        <v>-183892.86845753604</v>
      </c>
      <c r="W98" s="47">
        <f>IF(W105="X",NPV($D$18,$E$96:W96)+$D$98,NA())</f>
        <v>-165408.57391545468</v>
      </c>
      <c r="X98" s="47">
        <f>IF(X105="X",NPV($D$18,$E$96:X96)+$D$98,NA())</f>
        <v>-148604.66978628974</v>
      </c>
      <c r="Y98" s="47" t="e">
        <f>IF(Y105="X",NPV($D$18,$E$96:Y96)+$D$98,NA())</f>
        <v>#N/A</v>
      </c>
      <c r="Z98" s="47" t="e">
        <f>IF(Z105="X",NPV($D$18,$E$96:Z96)+$D$98,NA())</f>
        <v>#N/A</v>
      </c>
      <c r="AA98" s="47" t="e">
        <f>IF(AA105="X",NPV($D$18,$E$96:AA96)+$D$98,NA())</f>
        <v>#N/A</v>
      </c>
      <c r="AB98" s="47" t="e">
        <f>IF(AB105="X",NPV($D$18,$E$96:AB96)+$D$98,NA())</f>
        <v>#N/A</v>
      </c>
      <c r="AC98" s="47" t="e">
        <f>IF(AC105="X",NPV($D$18,$E$96:AC96)+$D$98,NA())</f>
        <v>#N/A</v>
      </c>
      <c r="AD98" s="47" t="e">
        <f>IF(AD105="X",NPV($D$18,$E$96:AD96)+$D$98,NA())</f>
        <v>#N/A</v>
      </c>
      <c r="AE98" s="47" t="e">
        <f>IF(AE105="X",NPV($D$18,$E$96:AE96)+$D$98,NA())</f>
        <v>#N/A</v>
      </c>
      <c r="AF98" s="47" t="e">
        <f>IF(AF105="X",NPV($D$18,$E$96:AF96)+$D$98,NA())</f>
        <v>#N/A</v>
      </c>
      <c r="AG98" s="47" t="e">
        <f>IF(AG105="X",NPV($D$18,$E$96:AG96)+$D$98,NA())</f>
        <v>#N/A</v>
      </c>
      <c r="AH98" s="47" t="e">
        <f>IF(AH105="X",NPV($D$18,$E$96:AH96)+$D$98,NA())</f>
        <v>#N/A</v>
      </c>
      <c r="AI98" s="71" t="e">
        <f>IF(AI105="X",NPV($D$18,$E$96:AI96)+$D$98,NA())</f>
        <v>#N/A</v>
      </c>
    </row>
    <row r="99" spans="2:35">
      <c r="AI99" s="96"/>
    </row>
    <row r="100" spans="2:35">
      <c r="AI100" s="96"/>
    </row>
    <row r="101" spans="2:35">
      <c r="AI101" s="96"/>
    </row>
    <row r="102" spans="2:35">
      <c r="AI102" s="96"/>
    </row>
    <row r="103" spans="2:35">
      <c r="AI103" s="96"/>
    </row>
    <row r="104" spans="2:35">
      <c r="AI104" s="96"/>
    </row>
    <row r="105" spans="2:35" hidden="1" outlineLevel="1">
      <c r="B105" s="130" t="s">
        <v>120</v>
      </c>
      <c r="C105" s="130"/>
      <c r="D105" s="130"/>
      <c r="E105" s="131" t="str">
        <f>IF(E76&lt;=VLOOKUP($D$17,Data!$B$4:$C$9,2,FALSE),"X","")</f>
        <v>X</v>
      </c>
      <c r="F105" s="131" t="str">
        <f>IF(F76&lt;=VLOOKUP($D$17,Data!$B$4:$C$9,2,FALSE),"X","")</f>
        <v>X</v>
      </c>
      <c r="G105" s="131" t="str">
        <f>IF(G76&lt;=VLOOKUP($D$17,Data!$B$4:$C$9,2,FALSE),"X","")</f>
        <v>X</v>
      </c>
      <c r="H105" s="131" t="str">
        <f>IF(H76&lt;=VLOOKUP($D$17,Data!$B$4:$C$9,2,FALSE),"X","")</f>
        <v>X</v>
      </c>
      <c r="I105" s="131" t="str">
        <f>IF(I76&lt;=VLOOKUP($D$17,Data!$B$4:$C$9,2,FALSE),"X","")</f>
        <v>X</v>
      </c>
      <c r="J105" s="131" t="str">
        <f>IF(J76&lt;=VLOOKUP($D$17,Data!$B$4:$C$9,2,FALSE),"X","")</f>
        <v>X</v>
      </c>
      <c r="K105" s="131" t="str">
        <f>IF(K76&lt;=VLOOKUP($D$17,Data!$B$4:$C$9,2,FALSE),"X","")</f>
        <v>X</v>
      </c>
      <c r="L105" s="131" t="str">
        <f>IF(L76&lt;=VLOOKUP($D$17,Data!$B$4:$C$9,2,FALSE),"X","")</f>
        <v>X</v>
      </c>
      <c r="M105" s="131" t="str">
        <f>IF(M76&lt;=VLOOKUP($D$17,Data!$B$4:$C$9,2,FALSE),"X","")</f>
        <v>X</v>
      </c>
      <c r="N105" s="131" t="str">
        <f>IF(N76&lt;=VLOOKUP($D$17,Data!$B$4:$C$9,2,FALSE),"X","")</f>
        <v>X</v>
      </c>
      <c r="O105" s="131" t="str">
        <f>IF(O76&lt;=VLOOKUP($D$17,Data!$B$4:$C$9,2,FALSE),"X","")</f>
        <v>X</v>
      </c>
      <c r="P105" s="131" t="str">
        <f>IF(P76&lt;=VLOOKUP($D$17,Data!$B$4:$C$9,2,FALSE),"X","")</f>
        <v>X</v>
      </c>
      <c r="Q105" s="131" t="str">
        <f>IF(Q76&lt;=VLOOKUP($D$17,Data!$B$4:$C$9,2,FALSE),"X","")</f>
        <v>X</v>
      </c>
      <c r="R105" s="131" t="str">
        <f>IF(R76&lt;=VLOOKUP($D$17,Data!$B$4:$C$9,2,FALSE),"X","")</f>
        <v>X</v>
      </c>
      <c r="S105" s="131" t="str">
        <f>IF(S76&lt;=VLOOKUP($D$17,Data!$B$4:$C$9,2,FALSE),"X","")</f>
        <v>X</v>
      </c>
      <c r="T105" s="131" t="str">
        <f>IF(T76&lt;=VLOOKUP($D$17,Data!$B$4:$C$9,2,FALSE),"X","")</f>
        <v>X</v>
      </c>
      <c r="U105" s="131" t="str">
        <f>IF(U76&lt;=VLOOKUP($D$17,Data!$B$4:$C$9,2,FALSE),"X","")</f>
        <v>X</v>
      </c>
      <c r="V105" s="131" t="str">
        <f>IF(V76&lt;=VLOOKUP($D$17,Data!$B$4:$C$9,2,FALSE),"X","")</f>
        <v>X</v>
      </c>
      <c r="W105" s="131" t="str">
        <f>IF(W76&lt;=VLOOKUP($D$17,Data!$B$4:$C$9,2,FALSE),"X","")</f>
        <v>X</v>
      </c>
      <c r="X105" s="131" t="str">
        <f>IF(X76&lt;=VLOOKUP($D$17,Data!$B$4:$C$9,2,FALSE),"X","")</f>
        <v>X</v>
      </c>
      <c r="Y105" s="131" t="str">
        <f>IF(Y76&lt;=VLOOKUP($D$17,Data!$B$4:$C$9,2,FALSE),"X","")</f>
        <v/>
      </c>
      <c r="Z105" s="131" t="str">
        <f>IF(Z76&lt;=VLOOKUP($D$17,Data!$B$4:$C$9,2,FALSE),"X","")</f>
        <v/>
      </c>
      <c r="AA105" s="131" t="str">
        <f>IF(AA76&lt;=VLOOKUP($D$17,Data!$B$4:$C$9,2,FALSE),"X","")</f>
        <v/>
      </c>
      <c r="AB105" s="131" t="str">
        <f>IF(AB76&lt;=VLOOKUP($D$17,Data!$B$4:$C$9,2,FALSE),"X","")</f>
        <v/>
      </c>
      <c r="AC105" s="131" t="str">
        <f>IF(AC76&lt;=VLOOKUP($D$17,Data!$B$4:$C$9,2,FALSE),"X","")</f>
        <v/>
      </c>
      <c r="AD105" s="131" t="str">
        <f>IF(AD76&lt;=VLOOKUP($D$17,Data!$B$4:$C$9,2,FALSE),"X","")</f>
        <v/>
      </c>
      <c r="AE105" s="131" t="str">
        <f>IF(AE76&lt;=VLOOKUP($D$17,Data!$B$4:$C$9,2,FALSE),"X","")</f>
        <v/>
      </c>
      <c r="AF105" s="131" t="str">
        <f>IF(AF76&lt;=VLOOKUP($D$17,Data!$B$4:$C$9,2,FALSE),"X","")</f>
        <v/>
      </c>
      <c r="AG105" s="131" t="str">
        <f>IF(AG76&lt;=VLOOKUP($D$17,Data!$B$4:$C$9,2,FALSE),"X","")</f>
        <v/>
      </c>
      <c r="AH105" s="131" t="str">
        <f>IF(AH76&lt;=VLOOKUP($D$17,Data!$B$4:$C$9,2,FALSE),"X","")</f>
        <v/>
      </c>
      <c r="AI105" s="129" t="str">
        <f>AH105</f>
        <v/>
      </c>
    </row>
    <row r="106" spans="2:35" hidden="1" outlineLevel="1">
      <c r="B106" s="113" t="s">
        <v>106</v>
      </c>
      <c r="C106" s="141"/>
      <c r="D106" s="18"/>
      <c r="E106" s="71">
        <f t="shared" ref="E106:AI106" si="23">_xlfn.IFNA(IF(AND(E98&gt;=0,D98&lt;=0),1,0),0)</f>
        <v>0</v>
      </c>
      <c r="F106" s="71">
        <f t="shared" si="23"/>
        <v>0</v>
      </c>
      <c r="G106" s="71">
        <f t="shared" si="23"/>
        <v>0</v>
      </c>
      <c r="H106" s="71">
        <f t="shared" si="23"/>
        <v>0</v>
      </c>
      <c r="I106" s="71">
        <f t="shared" si="23"/>
        <v>0</v>
      </c>
      <c r="J106" s="71">
        <f t="shared" si="23"/>
        <v>0</v>
      </c>
      <c r="K106" s="71">
        <f t="shared" si="23"/>
        <v>0</v>
      </c>
      <c r="L106" s="71">
        <f t="shared" si="23"/>
        <v>0</v>
      </c>
      <c r="M106" s="71">
        <f t="shared" si="23"/>
        <v>0</v>
      </c>
      <c r="N106" s="71">
        <f t="shared" si="23"/>
        <v>0</v>
      </c>
      <c r="O106" s="71">
        <f t="shared" si="23"/>
        <v>0</v>
      </c>
      <c r="P106" s="71">
        <f t="shared" si="23"/>
        <v>0</v>
      </c>
      <c r="Q106" s="71">
        <f t="shared" si="23"/>
        <v>0</v>
      </c>
      <c r="R106" s="71">
        <f t="shared" si="23"/>
        <v>0</v>
      </c>
      <c r="S106" s="71">
        <f t="shared" si="23"/>
        <v>0</v>
      </c>
      <c r="T106" s="71">
        <f t="shared" si="23"/>
        <v>0</v>
      </c>
      <c r="U106" s="71">
        <f t="shared" si="23"/>
        <v>0</v>
      </c>
      <c r="V106" s="71">
        <f t="shared" si="23"/>
        <v>0</v>
      </c>
      <c r="W106" s="71">
        <f t="shared" si="23"/>
        <v>0</v>
      </c>
      <c r="X106" s="71">
        <f t="shared" si="23"/>
        <v>0</v>
      </c>
      <c r="Y106" s="71">
        <f t="shared" si="23"/>
        <v>0</v>
      </c>
      <c r="Z106" s="71">
        <f t="shared" si="23"/>
        <v>0</v>
      </c>
      <c r="AA106" s="71">
        <f t="shared" si="23"/>
        <v>0</v>
      </c>
      <c r="AB106" s="71">
        <f t="shared" si="23"/>
        <v>0</v>
      </c>
      <c r="AC106" s="71">
        <f t="shared" si="23"/>
        <v>0</v>
      </c>
      <c r="AD106" s="71">
        <f t="shared" si="23"/>
        <v>0</v>
      </c>
      <c r="AE106" s="71">
        <f t="shared" si="23"/>
        <v>0</v>
      </c>
      <c r="AF106" s="71">
        <f t="shared" si="23"/>
        <v>0</v>
      </c>
      <c r="AG106" s="71">
        <f t="shared" si="23"/>
        <v>0</v>
      </c>
      <c r="AH106" s="71">
        <f t="shared" si="23"/>
        <v>0</v>
      </c>
      <c r="AI106" s="71">
        <f t="shared" si="23"/>
        <v>0</v>
      </c>
    </row>
    <row r="107" spans="2:35" hidden="1" outlineLevel="1">
      <c r="B107" s="113" t="s">
        <v>121</v>
      </c>
      <c r="C107" s="141"/>
      <c r="D107" s="18"/>
      <c r="E107" s="112">
        <f t="shared" ref="E107:AG107" si="24">IF(F106=1,ABS(E98)/(ABS(E98)+F98),0)</f>
        <v>0</v>
      </c>
      <c r="F107" s="112">
        <f t="shared" si="24"/>
        <v>0</v>
      </c>
      <c r="G107" s="112">
        <f t="shared" si="24"/>
        <v>0</v>
      </c>
      <c r="H107" s="112">
        <f t="shared" si="24"/>
        <v>0</v>
      </c>
      <c r="I107" s="112">
        <f t="shared" si="24"/>
        <v>0</v>
      </c>
      <c r="J107" s="112">
        <f t="shared" si="24"/>
        <v>0</v>
      </c>
      <c r="K107" s="112">
        <f t="shared" si="24"/>
        <v>0</v>
      </c>
      <c r="L107" s="112">
        <f t="shared" si="24"/>
        <v>0</v>
      </c>
      <c r="M107" s="112">
        <f t="shared" si="24"/>
        <v>0</v>
      </c>
      <c r="N107" s="112">
        <f t="shared" si="24"/>
        <v>0</v>
      </c>
      <c r="O107" s="112">
        <f t="shared" si="24"/>
        <v>0</v>
      </c>
      <c r="P107" s="112">
        <f t="shared" si="24"/>
        <v>0</v>
      </c>
      <c r="Q107" s="112">
        <f t="shared" si="24"/>
        <v>0</v>
      </c>
      <c r="R107" s="112">
        <f t="shared" si="24"/>
        <v>0</v>
      </c>
      <c r="S107" s="112">
        <f t="shared" si="24"/>
        <v>0</v>
      </c>
      <c r="T107" s="112">
        <f t="shared" si="24"/>
        <v>0</v>
      </c>
      <c r="U107" s="112">
        <f t="shared" si="24"/>
        <v>0</v>
      </c>
      <c r="V107" s="112">
        <f t="shared" si="24"/>
        <v>0</v>
      </c>
      <c r="W107" s="112">
        <f t="shared" si="24"/>
        <v>0</v>
      </c>
      <c r="X107" s="112">
        <f t="shared" si="24"/>
        <v>0</v>
      </c>
      <c r="Y107" s="112">
        <f t="shared" si="24"/>
        <v>0</v>
      </c>
      <c r="Z107" s="112">
        <f t="shared" si="24"/>
        <v>0</v>
      </c>
      <c r="AA107" s="112">
        <f t="shared" si="24"/>
        <v>0</v>
      </c>
      <c r="AB107" s="112">
        <f t="shared" si="24"/>
        <v>0</v>
      </c>
      <c r="AC107" s="112">
        <f t="shared" si="24"/>
        <v>0</v>
      </c>
      <c r="AD107" s="112">
        <f t="shared" si="24"/>
        <v>0</v>
      </c>
      <c r="AE107" s="112">
        <f t="shared" si="24"/>
        <v>0</v>
      </c>
      <c r="AF107" s="112">
        <f t="shared" si="24"/>
        <v>0</v>
      </c>
      <c r="AG107" s="112">
        <f t="shared" si="24"/>
        <v>0</v>
      </c>
      <c r="AH107" s="112">
        <f>IF(AJ99=1,ABS(AH98)/(ABS(AH98)+AJ96),0)</f>
        <v>0</v>
      </c>
    </row>
    <row r="108" spans="2:35" collapsed="1"/>
    <row r="113" spans="2:36" ht="15.6">
      <c r="B113" s="180" t="s">
        <v>122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</row>
    <row r="115" spans="2:36">
      <c r="B115" s="149" t="s">
        <v>116</v>
      </c>
      <c r="C115" s="150"/>
      <c r="D115" s="151">
        <v>0.25</v>
      </c>
      <c r="E115" s="27">
        <v>1</v>
      </c>
      <c r="F115" s="27">
        <v>2</v>
      </c>
      <c r="G115" s="27">
        <v>3</v>
      </c>
      <c r="H115" s="27">
        <v>4</v>
      </c>
      <c r="I115" s="27">
        <v>5</v>
      </c>
      <c r="J115" s="27">
        <v>6</v>
      </c>
      <c r="K115" s="27">
        <v>7</v>
      </c>
      <c r="L115" s="27">
        <v>8</v>
      </c>
      <c r="M115" s="27">
        <v>9</v>
      </c>
      <c r="N115" s="27">
        <v>10</v>
      </c>
      <c r="O115" s="27">
        <v>11</v>
      </c>
      <c r="P115" s="27">
        <v>12</v>
      </c>
      <c r="Q115" s="27">
        <v>13</v>
      </c>
      <c r="R115" s="27">
        <v>14</v>
      </c>
      <c r="S115" s="27">
        <v>15</v>
      </c>
      <c r="T115" s="27">
        <v>16</v>
      </c>
      <c r="U115" s="27">
        <v>17</v>
      </c>
      <c r="V115" s="27">
        <v>18</v>
      </c>
      <c r="W115" s="27">
        <v>19</v>
      </c>
      <c r="X115" s="27">
        <v>20</v>
      </c>
      <c r="Y115" s="27">
        <v>21</v>
      </c>
      <c r="Z115" s="27">
        <v>22</v>
      </c>
      <c r="AA115" s="27">
        <v>23</v>
      </c>
      <c r="AB115" s="27">
        <v>24</v>
      </c>
      <c r="AC115" s="27">
        <v>25</v>
      </c>
      <c r="AD115" s="27">
        <v>26</v>
      </c>
      <c r="AE115" s="27">
        <v>27</v>
      </c>
      <c r="AF115" s="27">
        <v>28</v>
      </c>
      <c r="AG115" s="27">
        <v>29</v>
      </c>
      <c r="AH115" s="27">
        <v>30</v>
      </c>
      <c r="AI115" s="181"/>
      <c r="AJ115" s="182"/>
    </row>
    <row r="116" spans="2:36">
      <c r="B116" s="8" t="s">
        <v>117</v>
      </c>
      <c r="D116" s="30">
        <f>$D$20*(100%+D115)</f>
        <v>-562500</v>
      </c>
      <c r="E116" s="30">
        <f>IF(E105="X",E77+E88,NA())</f>
        <v>-112000</v>
      </c>
      <c r="F116" s="30">
        <f t="shared" ref="F116:AH116" si="25">IF(F105="X",F77+F88,NA())</f>
        <v>-127780</v>
      </c>
      <c r="G116" s="30">
        <f t="shared" si="25"/>
        <v>1417.2000000000116</v>
      </c>
      <c r="H116" s="30">
        <f t="shared" si="25"/>
        <v>-9409.0719999999856</v>
      </c>
      <c r="I116" s="30">
        <f t="shared" si="25"/>
        <v>67240.492079999996</v>
      </c>
      <c r="J116" s="30">
        <f t="shared" si="25"/>
        <v>51365.17980719998</v>
      </c>
      <c r="K116" s="30">
        <f t="shared" si="25"/>
        <v>50464.257625511993</v>
      </c>
      <c r="L116" s="30">
        <f t="shared" si="25"/>
        <v>117036.97022685528</v>
      </c>
      <c r="M116" s="30">
        <f t="shared" si="25"/>
        <v>116082.5399036904</v>
      </c>
      <c r="N116" s="30">
        <f t="shared" si="25"/>
        <v>115100.1658822312</v>
      </c>
      <c r="O116" s="30">
        <f t="shared" si="25"/>
        <v>114089.02363575681</v>
      </c>
      <c r="P116" s="30">
        <f t="shared" si="25"/>
        <v>114089.02363575681</v>
      </c>
      <c r="Q116" s="30">
        <f t="shared" si="25"/>
        <v>114089.02363575681</v>
      </c>
      <c r="R116" s="30">
        <f t="shared" si="25"/>
        <v>114089.02363575681</v>
      </c>
      <c r="S116" s="30">
        <f t="shared" si="25"/>
        <v>114089.02363575681</v>
      </c>
      <c r="T116" s="30">
        <f t="shared" si="25"/>
        <v>113048.26417742934</v>
      </c>
      <c r="U116" s="30">
        <f t="shared" si="25"/>
        <v>113048.26417742934</v>
      </c>
      <c r="V116" s="30">
        <f t="shared" si="25"/>
        <v>113048.26417742934</v>
      </c>
      <c r="W116" s="30">
        <f t="shared" si="25"/>
        <v>113048.26417742934</v>
      </c>
      <c r="X116" s="30">
        <f t="shared" si="25"/>
        <v>113048.26417742934</v>
      </c>
      <c r="Y116" s="30" t="e">
        <f t="shared" si="25"/>
        <v>#N/A</v>
      </c>
      <c r="Z116" s="30" t="e">
        <f t="shared" si="25"/>
        <v>#N/A</v>
      </c>
      <c r="AA116" s="30" t="e">
        <f t="shared" si="25"/>
        <v>#N/A</v>
      </c>
      <c r="AB116" s="30" t="e">
        <f t="shared" si="25"/>
        <v>#N/A</v>
      </c>
      <c r="AC116" s="30" t="e">
        <f t="shared" si="25"/>
        <v>#N/A</v>
      </c>
      <c r="AD116" s="30" t="e">
        <f t="shared" si="25"/>
        <v>#N/A</v>
      </c>
      <c r="AE116" s="30" t="e">
        <f t="shared" si="25"/>
        <v>#N/A</v>
      </c>
      <c r="AF116" s="30" t="e">
        <f t="shared" si="25"/>
        <v>#N/A</v>
      </c>
      <c r="AG116" s="30" t="e">
        <f t="shared" si="25"/>
        <v>#N/A</v>
      </c>
      <c r="AH116" s="30" t="e">
        <f t="shared" si="25"/>
        <v>#N/A</v>
      </c>
      <c r="AI116" s="95" t="e">
        <f>AH116</f>
        <v>#N/A</v>
      </c>
      <c r="AJ116" s="14"/>
    </row>
    <row r="117" spans="2:36">
      <c r="B117" s="8" t="s">
        <v>119</v>
      </c>
      <c r="D117" s="30">
        <f>D116</f>
        <v>-562500</v>
      </c>
      <c r="E117" s="30">
        <f>IF(E105="X",NPV($D$18,$E$116:E116)+$D$117,NA())</f>
        <v>-664318.18181818177</v>
      </c>
      <c r="F117" s="30">
        <f>IF(F105="X",NPV($D$18,$E$116:F116)+$D$117,NA())</f>
        <v>-769921.48760330572</v>
      </c>
      <c r="G117" s="30">
        <f>IF(G105="X",NPV($D$18,$E$116:G116)+$D$117,NA())</f>
        <v>-768856.72426746809</v>
      </c>
      <c r="H117" s="30">
        <f>IF(H105="X",NPV($D$18,$E$116:H116)+$D$117,NA())</f>
        <v>-775283.2470459668</v>
      </c>
      <c r="I117" s="30">
        <f>IF(I105="X",NPV($D$18,$E$116:I116)+$D$117,NA())</f>
        <v>-733532.19174050458</v>
      </c>
      <c r="J117" s="30">
        <f>IF(J105="X",NPV($D$18,$E$116:J116)+$D$117,NA())</f>
        <v>-704537.88682681543</v>
      </c>
      <c r="K117" s="30">
        <f>IF(K105="X",NPV($D$18,$E$116:K116)+$D$117,NA())</f>
        <v>-678641.74334579811</v>
      </c>
      <c r="L117" s="30">
        <f>IF(L105="X",NPV($D$18,$E$116:L116)+$D$117,NA())</f>
        <v>-624043.13297758333</v>
      </c>
      <c r="M117" s="30">
        <f>IF(M105="X",NPV($D$18,$E$116:M116)+$D$117,NA())</f>
        <v>-574812.80426979938</v>
      </c>
      <c r="N117" s="30">
        <f>IF(N105="X",NPV($D$18,$E$116:N116)+$D$117,NA())</f>
        <v>-530436.7077016792</v>
      </c>
      <c r="O117" s="30">
        <f>IF(O105="X",NPV($D$18,$E$116:O116)+$D$117,NA())</f>
        <v>-490449.20091955812</v>
      </c>
      <c r="P117" s="30">
        <f>IF(P105="X",NPV($D$18,$E$116:P116)+$D$117,NA())</f>
        <v>-454096.92202672071</v>
      </c>
      <c r="Q117" s="30">
        <f>IF(Q105="X",NPV($D$18,$E$116:Q116)+$D$117,NA())</f>
        <v>-421049.39576050499</v>
      </c>
      <c r="R117" s="30">
        <f>IF(R105="X",NPV($D$18,$E$116:R116)+$D$117,NA())</f>
        <v>-391006.19006394513</v>
      </c>
      <c r="S117" s="30">
        <f>IF(S105="X",NPV($D$18,$E$116:S116)+$D$117,NA())</f>
        <v>-363694.18488525442</v>
      </c>
      <c r="T117" s="30">
        <f>IF(T105="X",NPV($D$18,$E$116:T116)+$D$117,NA())</f>
        <v>-339091.58884974406</v>
      </c>
      <c r="U117" s="30">
        <f>IF(U105="X",NPV($D$18,$E$116:U116)+$D$117,NA())</f>
        <v>-316725.59245382558</v>
      </c>
      <c r="V117" s="30">
        <f>IF(V105="X",NPV($D$18,$E$116:V116)+$D$117,NA())</f>
        <v>-296392.86845753604</v>
      </c>
      <c r="W117" s="30">
        <f>IF(W105="X",NPV($D$18,$E$116:W116)+$D$117,NA())</f>
        <v>-277908.57391545468</v>
      </c>
      <c r="X117" s="30">
        <f>IF(X105="X",NPV($D$18,$E$116:X116)+$D$117,NA())</f>
        <v>-261104.66978628974</v>
      </c>
      <c r="Y117" s="30" t="e">
        <f>IF(Y105="X",NPV($D$18,$E$116:Y116)+$D$117,NA())</f>
        <v>#N/A</v>
      </c>
      <c r="Z117" s="30" t="e">
        <f>IF(Z105="X",NPV($D$18,$E$116:Z116)+$D$117,NA())</f>
        <v>#N/A</v>
      </c>
      <c r="AA117" s="30" t="e">
        <f>IF(AA105="X",NPV($D$18,$E$116:AA116)+$D$117,NA())</f>
        <v>#N/A</v>
      </c>
      <c r="AB117" s="30" t="e">
        <f>IF(AB105="X",NPV($D$18,$E$116:AB116)+$D$117,NA())</f>
        <v>#N/A</v>
      </c>
      <c r="AC117" s="30" t="e">
        <f>IF(AC105="X",NPV($D$18,$E$116:AC116)+$D$117,NA())</f>
        <v>#N/A</v>
      </c>
      <c r="AD117" s="30" t="e">
        <f>IF(AD105="X",NPV($D$18,$E$116:AD116)+$D$117,NA())</f>
        <v>#N/A</v>
      </c>
      <c r="AE117" s="30" t="e">
        <f>IF(AE105="X",NPV($D$18,$E$116:AE116)+$D$117,NA())</f>
        <v>#N/A</v>
      </c>
      <c r="AF117" s="30" t="e">
        <f>IF(AF105="X",NPV($D$18,$E$116:AF116)+$D$117,NA())</f>
        <v>#N/A</v>
      </c>
      <c r="AG117" s="30" t="e">
        <f>IF(AG105="X",NPV($D$18,$E$116:AG116)+$D$117,NA())</f>
        <v>#N/A</v>
      </c>
      <c r="AH117" s="30" t="e">
        <f>IF(AH105="X",NPV($D$18,$E$116:AH116)+$D$117,NA())</f>
        <v>#N/A</v>
      </c>
      <c r="AI117" s="94" t="e">
        <f>IF(AI105="X",NPV($D$18,$E$116:AI116)+$D$117,NA())</f>
        <v>#N/A</v>
      </c>
      <c r="AJ117" s="14"/>
    </row>
    <row r="118" spans="2:36">
      <c r="B118" s="8"/>
      <c r="E118" s="30"/>
      <c r="AI118" s="96"/>
      <c r="AJ118" s="14"/>
    </row>
    <row r="119" spans="2:36" hidden="1" outlineLevel="1">
      <c r="B119" s="113" t="s">
        <v>106</v>
      </c>
      <c r="C119" s="141"/>
      <c r="D119" s="18"/>
      <c r="E119" s="71">
        <f>_xlfn.IFNA(IF(AND(E117&gt;=0,D117&lt;=0),1,0),0)</f>
        <v>0</v>
      </c>
      <c r="F119" s="71">
        <f t="shared" ref="F119:AH119" si="26">_xlfn.IFNA(IF(AND(F117&gt;=0,E117&lt;=0),1,0),0)</f>
        <v>0</v>
      </c>
      <c r="G119" s="71">
        <f t="shared" si="26"/>
        <v>0</v>
      </c>
      <c r="H119" s="71">
        <f t="shared" si="26"/>
        <v>0</v>
      </c>
      <c r="I119" s="71">
        <f t="shared" si="26"/>
        <v>0</v>
      </c>
      <c r="J119" s="71">
        <f t="shared" si="26"/>
        <v>0</v>
      </c>
      <c r="K119" s="71">
        <f t="shared" si="26"/>
        <v>0</v>
      </c>
      <c r="L119" s="71">
        <f t="shared" si="26"/>
        <v>0</v>
      </c>
      <c r="M119" s="71">
        <f t="shared" si="26"/>
        <v>0</v>
      </c>
      <c r="N119" s="71">
        <f t="shared" si="26"/>
        <v>0</v>
      </c>
      <c r="O119" s="71">
        <f t="shared" si="26"/>
        <v>0</v>
      </c>
      <c r="P119" s="71">
        <f t="shared" si="26"/>
        <v>0</v>
      </c>
      <c r="Q119" s="71">
        <f t="shared" si="26"/>
        <v>0</v>
      </c>
      <c r="R119" s="71">
        <f t="shared" si="26"/>
        <v>0</v>
      </c>
      <c r="S119" s="71">
        <f t="shared" si="26"/>
        <v>0</v>
      </c>
      <c r="T119" s="71">
        <f t="shared" si="26"/>
        <v>0</v>
      </c>
      <c r="U119" s="71">
        <f t="shared" si="26"/>
        <v>0</v>
      </c>
      <c r="V119" s="71">
        <f t="shared" si="26"/>
        <v>0</v>
      </c>
      <c r="W119" s="71">
        <f t="shared" si="26"/>
        <v>0</v>
      </c>
      <c r="X119" s="71">
        <f t="shared" si="26"/>
        <v>0</v>
      </c>
      <c r="Y119" s="71">
        <f t="shared" si="26"/>
        <v>0</v>
      </c>
      <c r="Z119" s="71">
        <f t="shared" si="26"/>
        <v>0</v>
      </c>
      <c r="AA119" s="71">
        <f t="shared" si="26"/>
        <v>0</v>
      </c>
      <c r="AB119" s="71">
        <f t="shared" si="26"/>
        <v>0</v>
      </c>
      <c r="AC119" s="71">
        <f t="shared" si="26"/>
        <v>0</v>
      </c>
      <c r="AD119" s="71">
        <f t="shared" si="26"/>
        <v>0</v>
      </c>
      <c r="AE119" s="71">
        <f t="shared" si="26"/>
        <v>0</v>
      </c>
      <c r="AF119" s="71">
        <f t="shared" si="26"/>
        <v>0</v>
      </c>
      <c r="AG119" s="71">
        <f t="shared" si="26"/>
        <v>0</v>
      </c>
      <c r="AH119" s="71">
        <f t="shared" si="26"/>
        <v>0</v>
      </c>
      <c r="AI119" s="71">
        <f>_xlfn.IFNA(IF(AND(AI117&gt;=0,AH117&lt;=0),1,0),0)</f>
        <v>0</v>
      </c>
      <c r="AJ119" s="14"/>
    </row>
    <row r="120" spans="2:36" hidden="1" outlineLevel="1">
      <c r="B120" s="113" t="s">
        <v>121</v>
      </c>
      <c r="C120" s="141"/>
      <c r="D120" s="18"/>
      <c r="E120" s="112">
        <f>IF(F119=1,ABS(E117)/(ABS(E117)+F117),0)</f>
        <v>0</v>
      </c>
      <c r="F120" s="112">
        <f t="shared" ref="F120:AH120" si="27">IF(G119=1,ABS(F117)/(ABS(F117)+G117),0)</f>
        <v>0</v>
      </c>
      <c r="G120" s="112">
        <f t="shared" si="27"/>
        <v>0</v>
      </c>
      <c r="H120" s="112">
        <f t="shared" si="27"/>
        <v>0</v>
      </c>
      <c r="I120" s="112">
        <f t="shared" si="27"/>
        <v>0</v>
      </c>
      <c r="J120" s="112">
        <f t="shared" si="27"/>
        <v>0</v>
      </c>
      <c r="K120" s="112">
        <f>IF(L119=1,ABS(K117)/(ABS(K117)+L117),0)</f>
        <v>0</v>
      </c>
      <c r="L120" s="112">
        <f t="shared" si="27"/>
        <v>0</v>
      </c>
      <c r="M120" s="112">
        <f t="shared" si="27"/>
        <v>0</v>
      </c>
      <c r="N120" s="112">
        <f t="shared" si="27"/>
        <v>0</v>
      </c>
      <c r="O120" s="112">
        <f t="shared" si="27"/>
        <v>0</v>
      </c>
      <c r="P120" s="112">
        <f t="shared" si="27"/>
        <v>0</v>
      </c>
      <c r="Q120" s="112">
        <f t="shared" si="27"/>
        <v>0</v>
      </c>
      <c r="R120" s="112">
        <f t="shared" si="27"/>
        <v>0</v>
      </c>
      <c r="S120" s="112">
        <f t="shared" si="27"/>
        <v>0</v>
      </c>
      <c r="T120" s="112">
        <f t="shared" si="27"/>
        <v>0</v>
      </c>
      <c r="U120" s="112">
        <f t="shared" si="27"/>
        <v>0</v>
      </c>
      <c r="V120" s="112">
        <f t="shared" si="27"/>
        <v>0</v>
      </c>
      <c r="W120" s="112">
        <f t="shared" si="27"/>
        <v>0</v>
      </c>
      <c r="X120" s="112">
        <f t="shared" si="27"/>
        <v>0</v>
      </c>
      <c r="Y120" s="112">
        <f t="shared" si="27"/>
        <v>0</v>
      </c>
      <c r="Z120" s="112">
        <f t="shared" si="27"/>
        <v>0</v>
      </c>
      <c r="AA120" s="112">
        <f t="shared" si="27"/>
        <v>0</v>
      </c>
      <c r="AB120" s="112">
        <f t="shared" si="27"/>
        <v>0</v>
      </c>
      <c r="AC120" s="112">
        <f t="shared" si="27"/>
        <v>0</v>
      </c>
      <c r="AD120" s="112">
        <f t="shared" si="27"/>
        <v>0</v>
      </c>
      <c r="AE120" s="112">
        <f t="shared" si="27"/>
        <v>0</v>
      </c>
      <c r="AF120" s="112">
        <f t="shared" si="27"/>
        <v>0</v>
      </c>
      <c r="AG120" s="112">
        <f t="shared" si="27"/>
        <v>0</v>
      </c>
      <c r="AH120" s="112">
        <f t="shared" si="27"/>
        <v>0</v>
      </c>
      <c r="AI120" s="96"/>
      <c r="AJ120" s="14"/>
    </row>
    <row r="121" spans="2:36" hidden="1" outlineLevel="1">
      <c r="B121" s="8"/>
      <c r="AI121" s="96"/>
      <c r="AJ121" s="14"/>
    </row>
    <row r="122" spans="2:36" hidden="1" outlineLevel="1">
      <c r="B122" s="183" t="s">
        <v>114</v>
      </c>
      <c r="C122" s="96"/>
      <c r="D122" s="94" cm="1">
        <f t="array" ref="D122">_xlfn.IFS(Data!$C$12=5,NPV($D$18,E116:I116)+D116,Data!$C$12=10,NPV($D$18,E116:N116)+D116,Data!$C$12=15,NPV($D$18,E116:S116)+D116,Data!$C$12=20,NPV($D$18,E116:X116)+D116,Data!$C$12=25,NPV($D$18,E116:AC116)+D116,Data!$C$12=30,NPV($D$18,E116:AH116)+D116)</f>
        <v>-261104.66978628974</v>
      </c>
      <c r="E122" s="48"/>
      <c r="AI122" s="96"/>
      <c r="AJ122" s="14"/>
    </row>
    <row r="123" spans="2:36" hidden="1" outlineLevel="1">
      <c r="B123" s="183" t="s">
        <v>101</v>
      </c>
      <c r="C123" s="96"/>
      <c r="D123" s="93" cm="1">
        <f t="array" ref="D123">_xlfn.IFS(Data!$C$12=5,MIRR(D116:I116,$D$18,$D$18),Data!$C$12=10,MIRR(D116:N116,$D$18,$D$18),Data!$C$12=15,MIRR(D116:S116,$D$18,$D$18),Data!$C$12=20,MIRR(D116:X116,$D$18,$D$18),Data!$C$12=25,MIRR(D116:AC116,$D$18,$D$18),Data!$C$12=30,MIRR(D116:AH116,$D$18,$D$18))</f>
        <v>7.7681635723494624E-2</v>
      </c>
      <c r="E123" s="48"/>
      <c r="AI123" s="96"/>
      <c r="AJ123" s="14"/>
    </row>
    <row r="124" spans="2:36" hidden="1" outlineLevel="1">
      <c r="B124" s="184" t="s">
        <v>106</v>
      </c>
      <c r="C124" s="185"/>
      <c r="D124" s="186" t="str">
        <f>_xlfn.IFNA(MATCH(1,E119:AH119,0)-1+SUM(E120:AH120),"-")</f>
        <v>-</v>
      </c>
      <c r="E124" s="187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185"/>
      <c r="AJ124" s="24"/>
    </row>
    <row r="125" spans="2:36" collapsed="1"/>
    <row r="126" spans="2:36">
      <c r="B126" s="152" t="s">
        <v>123</v>
      </c>
      <c r="C126" s="153"/>
      <c r="D126" s="154">
        <v>-0.25</v>
      </c>
      <c r="E126" s="27">
        <v>1</v>
      </c>
      <c r="F126" s="27">
        <v>2</v>
      </c>
      <c r="G126" s="27">
        <v>3</v>
      </c>
      <c r="H126" s="27">
        <v>4</v>
      </c>
      <c r="I126" s="27">
        <v>5</v>
      </c>
      <c r="J126" s="27">
        <v>6</v>
      </c>
      <c r="K126" s="27">
        <v>7</v>
      </c>
      <c r="L126" s="27">
        <v>8</v>
      </c>
      <c r="M126" s="27">
        <v>9</v>
      </c>
      <c r="N126" s="27">
        <v>10</v>
      </c>
      <c r="O126" s="27">
        <v>11</v>
      </c>
      <c r="P126" s="27">
        <v>12</v>
      </c>
      <c r="Q126" s="27">
        <v>13</v>
      </c>
      <c r="R126" s="27">
        <v>14</v>
      </c>
      <c r="S126" s="27">
        <v>15</v>
      </c>
      <c r="T126" s="27">
        <v>16</v>
      </c>
      <c r="U126" s="27">
        <v>17</v>
      </c>
      <c r="V126" s="27">
        <v>18</v>
      </c>
      <c r="W126" s="27">
        <v>19</v>
      </c>
      <c r="X126" s="27">
        <v>20</v>
      </c>
      <c r="Y126" s="27">
        <v>21</v>
      </c>
      <c r="Z126" s="27">
        <v>22</v>
      </c>
      <c r="AA126" s="27">
        <v>23</v>
      </c>
      <c r="AB126" s="27">
        <v>24</v>
      </c>
      <c r="AC126" s="27">
        <v>25</v>
      </c>
      <c r="AD126" s="27">
        <v>26</v>
      </c>
      <c r="AE126" s="27">
        <v>27</v>
      </c>
      <c r="AF126" s="27">
        <v>28</v>
      </c>
      <c r="AG126" s="27">
        <v>29</v>
      </c>
      <c r="AH126" s="27">
        <v>30</v>
      </c>
      <c r="AI126" s="181"/>
      <c r="AJ126" s="182"/>
    </row>
    <row r="127" spans="2:36">
      <c r="B127" s="8" t="s">
        <v>117</v>
      </c>
      <c r="D127" s="30">
        <f>$D$20</f>
        <v>-450000</v>
      </c>
      <c r="E127" s="30">
        <f t="shared" ref="E127:AH127" si="28">IF(E105="X",(E77*(100%+$D$126))+E88,NA())</f>
        <v>-113250</v>
      </c>
      <c r="F127" s="30">
        <f t="shared" si="28"/>
        <v>-129030</v>
      </c>
      <c r="G127" s="30">
        <f t="shared" si="28"/>
        <v>-36082.799999999988</v>
      </c>
      <c r="H127" s="30">
        <f t="shared" si="28"/>
        <v>-46909.071999999986</v>
      </c>
      <c r="I127" s="30">
        <f t="shared" si="28"/>
        <v>10365.492079999996</v>
      </c>
      <c r="J127" s="30">
        <f t="shared" si="28"/>
        <v>-5509.8201928000199</v>
      </c>
      <c r="K127" s="30">
        <f t="shared" si="28"/>
        <v>-6410.742374488007</v>
      </c>
      <c r="L127" s="30">
        <f t="shared" si="28"/>
        <v>43286.970226855279</v>
      </c>
      <c r="M127" s="30">
        <f t="shared" si="28"/>
        <v>42332.539903690398</v>
      </c>
      <c r="N127" s="30">
        <f t="shared" si="28"/>
        <v>41350.165882231202</v>
      </c>
      <c r="O127" s="30">
        <f t="shared" si="28"/>
        <v>40339.023635756806</v>
      </c>
      <c r="P127" s="30">
        <f t="shared" si="28"/>
        <v>40339.023635756806</v>
      </c>
      <c r="Q127" s="30">
        <f t="shared" si="28"/>
        <v>40339.023635756806</v>
      </c>
      <c r="R127" s="30">
        <f t="shared" si="28"/>
        <v>40339.023635756806</v>
      </c>
      <c r="S127" s="30">
        <f t="shared" si="28"/>
        <v>40339.023635756806</v>
      </c>
      <c r="T127" s="30">
        <f t="shared" si="28"/>
        <v>39298.264177429344</v>
      </c>
      <c r="U127" s="30">
        <f t="shared" si="28"/>
        <v>39298.264177429344</v>
      </c>
      <c r="V127" s="30">
        <f t="shared" si="28"/>
        <v>39298.264177429344</v>
      </c>
      <c r="W127" s="30">
        <f t="shared" si="28"/>
        <v>39298.264177429344</v>
      </c>
      <c r="X127" s="30">
        <f t="shared" si="28"/>
        <v>39298.264177429344</v>
      </c>
      <c r="Y127" s="30" t="e">
        <f t="shared" si="28"/>
        <v>#N/A</v>
      </c>
      <c r="Z127" s="30" t="e">
        <f t="shared" si="28"/>
        <v>#N/A</v>
      </c>
      <c r="AA127" s="30" t="e">
        <f t="shared" si="28"/>
        <v>#N/A</v>
      </c>
      <c r="AB127" s="30" t="e">
        <f t="shared" si="28"/>
        <v>#N/A</v>
      </c>
      <c r="AC127" s="30" t="e">
        <f t="shared" si="28"/>
        <v>#N/A</v>
      </c>
      <c r="AD127" s="30" t="e">
        <f t="shared" si="28"/>
        <v>#N/A</v>
      </c>
      <c r="AE127" s="30" t="e">
        <f t="shared" si="28"/>
        <v>#N/A</v>
      </c>
      <c r="AF127" s="30" t="e">
        <f t="shared" si="28"/>
        <v>#N/A</v>
      </c>
      <c r="AG127" s="30" t="e">
        <f t="shared" si="28"/>
        <v>#N/A</v>
      </c>
      <c r="AH127" s="30" t="e">
        <f t="shared" si="28"/>
        <v>#N/A</v>
      </c>
      <c r="AI127" s="95" t="e">
        <f>AH127</f>
        <v>#N/A</v>
      </c>
      <c r="AJ127" s="14"/>
    </row>
    <row r="128" spans="2:36">
      <c r="B128" s="8" t="s">
        <v>119</v>
      </c>
      <c r="D128" s="30">
        <f>D127</f>
        <v>-450000</v>
      </c>
      <c r="E128" s="30">
        <f>IF(E105="X",NPV($D$18,$E$127:E127)+$D$128,NA())</f>
        <v>-552954.54545454541</v>
      </c>
      <c r="F128" s="30">
        <f>IF(F105="X",NPV($D$18,$E$127:F127)+$D$128,NA())</f>
        <v>-659590.90909090906</v>
      </c>
      <c r="G128" s="30">
        <f>IF(G105="X",NPV($D$18,$E$127:G127)+$D$128,NA())</f>
        <v>-686700.45078888047</v>
      </c>
      <c r="H128" s="30">
        <f>IF(H105="X",NPV($D$18,$E$127:H127)+$D$128,NA())</f>
        <v>-718739.97814356931</v>
      </c>
      <c r="I128" s="30">
        <f>IF(I105="X",NPV($D$18,$E$127:I127)+$D$128,NA())</f>
        <v>-712303.82308709668</v>
      </c>
      <c r="J128" s="30">
        <f>IF(J105="X",NPV($D$18,$E$127:J127)+$D$128,NA())</f>
        <v>-715413.97294521611</v>
      </c>
      <c r="K128" s="30">
        <f>IF(K105="X",NPV($D$18,$E$127:K127)+$D$128,NA())</f>
        <v>-718703.69743857021</v>
      </c>
      <c r="L128" s="30">
        <f>IF(L105="X",NPV($D$18,$E$127:L127)+$D$128,NA())</f>
        <v>-698510.00636082329</v>
      </c>
      <c r="M128" s="30">
        <f>IF(M105="X",NPV($D$18,$E$127:M127)+$D$128,NA())</f>
        <v>-680556.87700800993</v>
      </c>
      <c r="N128" s="30">
        <f>IF(N105="X",NPV($D$18,$E$127:N127)+$D$128,NA())</f>
        <v>-664614.59803531785</v>
      </c>
      <c r="O128" s="30">
        <f>IF(O105="X",NPV($D$18,$E$127:O127)+$D$128,NA())</f>
        <v>-650476.01633994933</v>
      </c>
      <c r="P128" s="30">
        <f>IF(P105="X",NPV($D$18,$E$127:P127)+$D$128,NA())</f>
        <v>-637622.76025325072</v>
      </c>
      <c r="Q128" s="30">
        <f>IF(Q105="X",NPV($D$18,$E$127:Q127)+$D$128,NA())</f>
        <v>-625937.98199261562</v>
      </c>
      <c r="R128" s="30">
        <f>IF(R105="X",NPV($D$18,$E$127:R127)+$D$128,NA())</f>
        <v>-615315.45630112919</v>
      </c>
      <c r="S128" s="30">
        <f>IF(S105="X",NPV($D$18,$E$127:S127)+$D$128,NA())</f>
        <v>-605658.61476341425</v>
      </c>
      <c r="T128" s="30">
        <f>IF(T105="X",NPV($D$18,$E$127:T127)+$D$128,NA())</f>
        <v>-597106.1674924274</v>
      </c>
      <c r="U128" s="30">
        <f>IF(U105="X",NPV($D$18,$E$127:U127)+$D$128,NA())</f>
        <v>-589331.21542789391</v>
      </c>
      <c r="V128" s="30">
        <f>IF(V105="X",NPV($D$18,$E$127:V127)+$D$128,NA())</f>
        <v>-582263.07718740881</v>
      </c>
      <c r="W128" s="30">
        <f>IF(W105="X",NPV($D$18,$E$127:W127)+$D$128,NA())</f>
        <v>-575837.49696878612</v>
      </c>
      <c r="X128" s="30">
        <f>IF(X105="X",NPV($D$18,$E$127:X127)+$D$128,NA())</f>
        <v>-569996.06040640175</v>
      </c>
      <c r="Y128" s="30" t="e">
        <f>IF(Y105="X",NPV($D$18,$E$127:Y127)+$D$128,NA())</f>
        <v>#N/A</v>
      </c>
      <c r="Z128" s="30" t="e">
        <f>IF(Z105="X",NPV($D$18,$E$127:Z127)+$D$128,NA())</f>
        <v>#N/A</v>
      </c>
      <c r="AA128" s="30" t="e">
        <f>IF(AA105="X",NPV($D$18,$E$127:AA127)+$D$128,NA())</f>
        <v>#N/A</v>
      </c>
      <c r="AB128" s="30" t="e">
        <f>IF(AB105="X",NPV($D$18,$E$127:AB127)+$D$128,NA())</f>
        <v>#N/A</v>
      </c>
      <c r="AC128" s="30" t="e">
        <f>IF(AC105="X",NPV($D$18,$E$127:AC127)+$D$128,NA())</f>
        <v>#N/A</v>
      </c>
      <c r="AD128" s="30" t="e">
        <f>IF(AD105="X",NPV($D$18,$E$127:AD127)+$D$128,NA())</f>
        <v>#N/A</v>
      </c>
      <c r="AE128" s="30" t="e">
        <f>IF(AE105="X",NPV($D$18,$E$127:AE127)+$D$128,NA())</f>
        <v>#N/A</v>
      </c>
      <c r="AF128" s="30" t="e">
        <f>IF(AF105="X",NPV($D$18,$E$127:AF127)+$D$128,NA())</f>
        <v>#N/A</v>
      </c>
      <c r="AG128" s="30" t="e">
        <f>IF(AG105="X",NPV($D$18,$E$127:AG127)+$D$128,NA())</f>
        <v>#N/A</v>
      </c>
      <c r="AH128" s="30" t="e">
        <f>IF(AH105="X",NPV($D$18,$E$127:AH127)+$D$128,NA())</f>
        <v>#N/A</v>
      </c>
      <c r="AI128" s="94" t="e">
        <f>IF(AI105="X",NPV($D$18,$E$127:AI127)+$D$128,NA())</f>
        <v>#N/A</v>
      </c>
      <c r="AJ128" s="14"/>
    </row>
    <row r="129" spans="2:36">
      <c r="B129" s="8"/>
      <c r="E129" s="30"/>
      <c r="AI129" s="96"/>
      <c r="AJ129" s="14"/>
    </row>
    <row r="130" spans="2:36" hidden="1" outlineLevel="1">
      <c r="B130" s="113" t="s">
        <v>106</v>
      </c>
      <c r="C130" s="141"/>
      <c r="D130" s="18"/>
      <c r="E130" s="71">
        <f>_xlfn.IFNA(IF(AND(E128&gt;=0,D128&lt;=0),1,0),0)</f>
        <v>0</v>
      </c>
      <c r="F130" s="71">
        <f t="shared" ref="F130:AI130" si="29">_xlfn.IFNA(IF(AND(F128&gt;=0,E128&lt;=0),1,0),0)</f>
        <v>0</v>
      </c>
      <c r="G130" s="71">
        <f t="shared" si="29"/>
        <v>0</v>
      </c>
      <c r="H130" s="71">
        <f t="shared" si="29"/>
        <v>0</v>
      </c>
      <c r="I130" s="71">
        <f t="shared" si="29"/>
        <v>0</v>
      </c>
      <c r="J130" s="71">
        <f t="shared" si="29"/>
        <v>0</v>
      </c>
      <c r="K130" s="71">
        <f t="shared" si="29"/>
        <v>0</v>
      </c>
      <c r="L130" s="71">
        <f t="shared" si="29"/>
        <v>0</v>
      </c>
      <c r="M130" s="71">
        <f t="shared" si="29"/>
        <v>0</v>
      </c>
      <c r="N130" s="71">
        <f t="shared" si="29"/>
        <v>0</v>
      </c>
      <c r="O130" s="71">
        <f t="shared" si="29"/>
        <v>0</v>
      </c>
      <c r="P130" s="71">
        <f t="shared" si="29"/>
        <v>0</v>
      </c>
      <c r="Q130" s="71">
        <f t="shared" si="29"/>
        <v>0</v>
      </c>
      <c r="R130" s="71">
        <f t="shared" si="29"/>
        <v>0</v>
      </c>
      <c r="S130" s="71">
        <f t="shared" si="29"/>
        <v>0</v>
      </c>
      <c r="T130" s="71">
        <f t="shared" si="29"/>
        <v>0</v>
      </c>
      <c r="U130" s="71">
        <f t="shared" si="29"/>
        <v>0</v>
      </c>
      <c r="V130" s="71">
        <f t="shared" si="29"/>
        <v>0</v>
      </c>
      <c r="W130" s="71">
        <f t="shared" si="29"/>
        <v>0</v>
      </c>
      <c r="X130" s="71">
        <f t="shared" si="29"/>
        <v>0</v>
      </c>
      <c r="Y130" s="71">
        <f t="shared" si="29"/>
        <v>0</v>
      </c>
      <c r="Z130" s="71">
        <f t="shared" si="29"/>
        <v>0</v>
      </c>
      <c r="AA130" s="71">
        <f t="shared" si="29"/>
        <v>0</v>
      </c>
      <c r="AB130" s="71">
        <f t="shared" si="29"/>
        <v>0</v>
      </c>
      <c r="AC130" s="71">
        <f t="shared" si="29"/>
        <v>0</v>
      </c>
      <c r="AD130" s="71">
        <f t="shared" si="29"/>
        <v>0</v>
      </c>
      <c r="AE130" s="71">
        <f t="shared" si="29"/>
        <v>0</v>
      </c>
      <c r="AF130" s="71">
        <f t="shared" si="29"/>
        <v>0</v>
      </c>
      <c r="AG130" s="71">
        <f t="shared" si="29"/>
        <v>0</v>
      </c>
      <c r="AH130" s="71">
        <f t="shared" si="29"/>
        <v>0</v>
      </c>
      <c r="AI130" s="71">
        <f t="shared" si="29"/>
        <v>0</v>
      </c>
      <c r="AJ130" s="14"/>
    </row>
    <row r="131" spans="2:36" hidden="1" outlineLevel="1">
      <c r="B131" s="113" t="s">
        <v>121</v>
      </c>
      <c r="C131" s="141"/>
      <c r="D131" s="18"/>
      <c r="E131" s="112">
        <f>IF(F130=1,ABS(E128)/(ABS(E128)+F128),0)</f>
        <v>0</v>
      </c>
      <c r="F131" s="112">
        <f t="shared" ref="F131:AG131" si="30">IF(G130=1,ABS(F128)/(ABS(F128)+G128),0)</f>
        <v>0</v>
      </c>
      <c r="G131" s="112">
        <f t="shared" si="30"/>
        <v>0</v>
      </c>
      <c r="H131" s="112">
        <f t="shared" si="30"/>
        <v>0</v>
      </c>
      <c r="I131" s="112">
        <f t="shared" si="30"/>
        <v>0</v>
      </c>
      <c r="J131" s="112">
        <f t="shared" si="30"/>
        <v>0</v>
      </c>
      <c r="K131" s="112">
        <f t="shared" si="30"/>
        <v>0</v>
      </c>
      <c r="L131" s="112">
        <f t="shared" si="30"/>
        <v>0</v>
      </c>
      <c r="M131" s="112">
        <f t="shared" si="30"/>
        <v>0</v>
      </c>
      <c r="N131" s="112">
        <f t="shared" si="30"/>
        <v>0</v>
      </c>
      <c r="O131" s="112">
        <f t="shared" si="30"/>
        <v>0</v>
      </c>
      <c r="P131" s="112">
        <f t="shared" si="30"/>
        <v>0</v>
      </c>
      <c r="Q131" s="112">
        <f t="shared" si="30"/>
        <v>0</v>
      </c>
      <c r="R131" s="112">
        <f t="shared" si="30"/>
        <v>0</v>
      </c>
      <c r="S131" s="112">
        <f t="shared" si="30"/>
        <v>0</v>
      </c>
      <c r="T131" s="112">
        <f t="shared" si="30"/>
        <v>0</v>
      </c>
      <c r="U131" s="112">
        <f t="shared" si="30"/>
        <v>0</v>
      </c>
      <c r="V131" s="112">
        <f t="shared" si="30"/>
        <v>0</v>
      </c>
      <c r="W131" s="112">
        <f t="shared" si="30"/>
        <v>0</v>
      </c>
      <c r="X131" s="112">
        <f t="shared" si="30"/>
        <v>0</v>
      </c>
      <c r="Y131" s="112">
        <f t="shared" si="30"/>
        <v>0</v>
      </c>
      <c r="Z131" s="112">
        <f t="shared" si="30"/>
        <v>0</v>
      </c>
      <c r="AA131" s="112">
        <f t="shared" si="30"/>
        <v>0</v>
      </c>
      <c r="AB131" s="112">
        <f t="shared" si="30"/>
        <v>0</v>
      </c>
      <c r="AC131" s="112">
        <f t="shared" si="30"/>
        <v>0</v>
      </c>
      <c r="AD131" s="112">
        <f t="shared" si="30"/>
        <v>0</v>
      </c>
      <c r="AE131" s="112">
        <f t="shared" si="30"/>
        <v>0</v>
      </c>
      <c r="AF131" s="112">
        <f t="shared" si="30"/>
        <v>0</v>
      </c>
      <c r="AG131" s="112">
        <f t="shared" si="30"/>
        <v>0</v>
      </c>
      <c r="AH131" s="112">
        <f>IF(AI130=1,ABS(AH128)/(ABS(AH128)+AI128),0)</f>
        <v>0</v>
      </c>
      <c r="AI131" s="96"/>
      <c r="AJ131" s="14"/>
    </row>
    <row r="132" spans="2:36" hidden="1" outlineLevel="1">
      <c r="B132" s="8"/>
      <c r="AI132" s="96"/>
      <c r="AJ132" s="14"/>
    </row>
    <row r="133" spans="2:36" hidden="1" outlineLevel="1">
      <c r="B133" s="183" t="s">
        <v>114</v>
      </c>
      <c r="C133" s="96"/>
      <c r="D133" s="94" cm="1">
        <f t="array" ref="D133">_xlfn.IFS(Data!$C$12=5,NPV($D$18,E127:I127)+D127,Data!$C$12=10,NPV($D$18,E127:N127)+D127,Data!$C$12=15,NPV($D$18,E127:S127)+D127,Data!$C$12=20,NPV($D$18,E127:X127)+D127,Data!$C$12=25,NPV($D$18,E127:AC127)+D127,Data!$C$12=30,NPV($D$18,E127:AH127)+D127)</f>
        <v>-569996.06040640175</v>
      </c>
      <c r="E133" s="48"/>
      <c r="AI133" s="96"/>
      <c r="AJ133" s="14"/>
    </row>
    <row r="134" spans="2:36" hidden="1" outlineLevel="1">
      <c r="B134" s="183" t="s">
        <v>101</v>
      </c>
      <c r="C134" s="96"/>
      <c r="D134" s="93" cm="1">
        <f t="array" ref="D134">_xlfn.IFS(Data!$C$12=5,MIRR(D127:I127,$D$18,$D$18),Data!$C$12=10,MIRR(D127:N127,$D$18,$D$18),Data!$C$12=15,MIRR(D127:S127,$D$18,$D$18),Data!$C$12=20,MIRR(D127:X127,$D$18,$D$18),Data!$C$12=25,MIRR(D127:AC127,$D$18,$D$18),Data!$C$12=30,MIRR(D127:AH127,$D$18,$D$18))</f>
        <v>1.8376377080323802E-2</v>
      </c>
      <c r="E134" s="48"/>
      <c r="AI134" s="96"/>
      <c r="AJ134" s="14"/>
    </row>
    <row r="135" spans="2:36" hidden="1" outlineLevel="1">
      <c r="B135" s="184" t="s">
        <v>106</v>
      </c>
      <c r="C135" s="185"/>
      <c r="D135" s="186" t="str">
        <f>_xlfn.IFNA(MATCH(1,E130:AH130,0)-1+SUM(E131:AH131),"-")</f>
        <v>-</v>
      </c>
      <c r="E135" s="187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185"/>
      <c r="AJ135" s="24"/>
    </row>
    <row r="136" spans="2:36" collapsed="1"/>
    <row r="137" spans="2:36">
      <c r="B137" s="155" t="s">
        <v>124</v>
      </c>
      <c r="C137" s="156"/>
      <c r="D137" s="157">
        <v>0.25</v>
      </c>
      <c r="E137" s="27">
        <v>1</v>
      </c>
      <c r="F137" s="27">
        <v>2</v>
      </c>
      <c r="G137" s="27">
        <v>3</v>
      </c>
      <c r="H137" s="27">
        <v>4</v>
      </c>
      <c r="I137" s="27">
        <v>5</v>
      </c>
      <c r="J137" s="27">
        <v>6</v>
      </c>
      <c r="K137" s="27">
        <v>7</v>
      </c>
      <c r="L137" s="27">
        <v>8</v>
      </c>
      <c r="M137" s="27">
        <v>9</v>
      </c>
      <c r="N137" s="27">
        <v>10</v>
      </c>
      <c r="O137" s="27">
        <v>11</v>
      </c>
      <c r="P137" s="27">
        <v>12</v>
      </c>
      <c r="Q137" s="27">
        <v>13</v>
      </c>
      <c r="R137" s="27">
        <v>14</v>
      </c>
      <c r="S137" s="27">
        <v>15</v>
      </c>
      <c r="T137" s="27">
        <v>16</v>
      </c>
      <c r="U137" s="27">
        <v>17</v>
      </c>
      <c r="V137" s="27">
        <v>18</v>
      </c>
      <c r="W137" s="27">
        <v>19</v>
      </c>
      <c r="X137" s="27">
        <v>20</v>
      </c>
      <c r="Y137" s="27">
        <v>21</v>
      </c>
      <c r="Z137" s="27">
        <v>22</v>
      </c>
      <c r="AA137" s="27">
        <v>23</v>
      </c>
      <c r="AB137" s="27">
        <v>24</v>
      </c>
      <c r="AC137" s="27">
        <v>25</v>
      </c>
      <c r="AD137" s="27">
        <v>26</v>
      </c>
      <c r="AE137" s="27">
        <v>27</v>
      </c>
      <c r="AF137" s="27">
        <v>28</v>
      </c>
      <c r="AG137" s="27">
        <v>29</v>
      </c>
      <c r="AH137" s="27">
        <v>30</v>
      </c>
      <c r="AI137" s="181"/>
      <c r="AJ137" s="182"/>
    </row>
    <row r="138" spans="2:36">
      <c r="B138" s="8" t="s">
        <v>117</v>
      </c>
      <c r="D138" s="30">
        <f>$D$20</f>
        <v>-450000</v>
      </c>
      <c r="E138" s="30">
        <f t="shared" ref="E138:AH138" si="31">IF(E105="X",(E77+E88*(100%+$D$137)),NA())</f>
        <v>-141250</v>
      </c>
      <c r="F138" s="30">
        <f t="shared" si="31"/>
        <v>-160975</v>
      </c>
      <c r="G138" s="30">
        <f t="shared" si="31"/>
        <v>-35728.5</v>
      </c>
      <c r="H138" s="30">
        <f t="shared" si="31"/>
        <v>-49261.339999999967</v>
      </c>
      <c r="I138" s="30">
        <f t="shared" si="31"/>
        <v>27175.615099999995</v>
      </c>
      <c r="J138" s="30">
        <f t="shared" si="31"/>
        <v>7331.4747589999752</v>
      </c>
      <c r="K138" s="30">
        <f t="shared" si="31"/>
        <v>6205.3220318899839</v>
      </c>
      <c r="L138" s="30">
        <f t="shared" si="31"/>
        <v>72546.212783569092</v>
      </c>
      <c r="M138" s="30">
        <f t="shared" si="31"/>
        <v>71353.174879612983</v>
      </c>
      <c r="N138" s="30">
        <f t="shared" si="31"/>
        <v>70125.207352789002</v>
      </c>
      <c r="O138" s="30">
        <f t="shared" si="31"/>
        <v>68861.279544696008</v>
      </c>
      <c r="P138" s="30">
        <f t="shared" si="31"/>
        <v>68861.279544696008</v>
      </c>
      <c r="Q138" s="30">
        <f t="shared" si="31"/>
        <v>68861.279544696008</v>
      </c>
      <c r="R138" s="30">
        <f t="shared" si="31"/>
        <v>68861.279544696008</v>
      </c>
      <c r="S138" s="30">
        <f t="shared" si="31"/>
        <v>68861.279544696008</v>
      </c>
      <c r="T138" s="30">
        <f t="shared" si="31"/>
        <v>67560.330221786688</v>
      </c>
      <c r="U138" s="30">
        <f t="shared" si="31"/>
        <v>67560.330221786688</v>
      </c>
      <c r="V138" s="30">
        <f t="shared" si="31"/>
        <v>67560.330221786688</v>
      </c>
      <c r="W138" s="30">
        <f t="shared" si="31"/>
        <v>67560.330221786688</v>
      </c>
      <c r="X138" s="30">
        <f t="shared" si="31"/>
        <v>67560.330221786688</v>
      </c>
      <c r="Y138" s="30" t="e">
        <f t="shared" si="31"/>
        <v>#N/A</v>
      </c>
      <c r="Z138" s="30" t="e">
        <f t="shared" si="31"/>
        <v>#N/A</v>
      </c>
      <c r="AA138" s="30" t="e">
        <f t="shared" si="31"/>
        <v>#N/A</v>
      </c>
      <c r="AB138" s="30" t="e">
        <f t="shared" si="31"/>
        <v>#N/A</v>
      </c>
      <c r="AC138" s="30" t="e">
        <f t="shared" si="31"/>
        <v>#N/A</v>
      </c>
      <c r="AD138" s="30" t="e">
        <f t="shared" si="31"/>
        <v>#N/A</v>
      </c>
      <c r="AE138" s="30" t="e">
        <f t="shared" si="31"/>
        <v>#N/A</v>
      </c>
      <c r="AF138" s="30" t="e">
        <f t="shared" si="31"/>
        <v>#N/A</v>
      </c>
      <c r="AG138" s="30" t="e">
        <f t="shared" si="31"/>
        <v>#N/A</v>
      </c>
      <c r="AH138" s="30" t="e">
        <f t="shared" si="31"/>
        <v>#N/A</v>
      </c>
      <c r="AI138" s="95" t="e">
        <f>AH138</f>
        <v>#N/A</v>
      </c>
      <c r="AJ138" s="14"/>
    </row>
    <row r="139" spans="2:36">
      <c r="B139" s="8" t="s">
        <v>119</v>
      </c>
      <c r="D139" s="30">
        <f>D138</f>
        <v>-450000</v>
      </c>
      <c r="E139" s="30">
        <f>IF(E105="X",NPV($D$18,$E$138:E138)+$D$139,NA())</f>
        <v>-578409.09090909094</v>
      </c>
      <c r="F139" s="30">
        <f>IF(F105="X",NPV($D$18,$E$138:F138)+$D$139,NA())</f>
        <v>-711446.28099173552</v>
      </c>
      <c r="G139" s="30">
        <f>IF(G105="X",NPV($D$18,$E$138:G138)+$D$139,NA())</f>
        <v>-738289.63185574743</v>
      </c>
      <c r="H139" s="30">
        <f>IF(H105="X",NPV($D$18,$E$138:H138)+$D$139,NA())</f>
        <v>-771935.78990506101</v>
      </c>
      <c r="I139" s="30">
        <f>IF(I105="X",NPV($D$18,$E$138:I138)+$D$139,NA())</f>
        <v>-755061.8710222228</v>
      </c>
      <c r="J139" s="30">
        <f>IF(J105="X",NPV($D$18,$E$138:J138)+$D$139,NA())</f>
        <v>-750923.44465191988</v>
      </c>
      <c r="K139" s="30">
        <f>IF(K105="X",NPV($D$18,$E$138:K138)+$D$139,NA())</f>
        <v>-747739.1332750197</v>
      </c>
      <c r="L139" s="30">
        <f>IF(L105="X",NPV($D$18,$E$138:L138)+$D$139,NA())</f>
        <v>-713895.78960521915</v>
      </c>
      <c r="M139" s="30">
        <f>IF(M105="X",NPV($D$18,$E$138:M138)+$D$139,NA())</f>
        <v>-683635.07807545981</v>
      </c>
      <c r="N139" s="30">
        <f>IF(N105="X",NPV($D$18,$E$138:N138)+$D$139,NA())</f>
        <v>-656598.77496073756</v>
      </c>
      <c r="O139" s="30">
        <f>IF(O105="X",NPV($D$18,$E$138:O138)+$D$139,NA())</f>
        <v>-632463.31656983879</v>
      </c>
      <c r="P139" s="30">
        <f>IF(P105="X",NPV($D$18,$E$138:P138)+$D$139,NA())</f>
        <v>-610521.99075993092</v>
      </c>
      <c r="Q139" s="30">
        <f>IF(Q105="X",NPV($D$18,$E$138:Q138)+$D$139,NA())</f>
        <v>-590575.33093274187</v>
      </c>
      <c r="R139" s="30">
        <f>IF(R105="X",NPV($D$18,$E$138:R138)+$D$139,NA())</f>
        <v>-572442.00381711544</v>
      </c>
      <c r="S139" s="30">
        <f>IF(S105="X",NPV($D$18,$E$138:S138)+$D$139,NA())</f>
        <v>-555957.1609847279</v>
      </c>
      <c r="T139" s="30">
        <f>IF(T105="X",NPV($D$18,$E$138:T138)+$D$139,NA())</f>
        <v>-541254.06470486335</v>
      </c>
      <c r="U139" s="30">
        <f>IF(U105="X",NPV($D$18,$E$138:U138)+$D$139,NA())</f>
        <v>-527887.61354135023</v>
      </c>
      <c r="V139" s="30">
        <f>IF(V105="X",NPV($D$18,$E$138:V138)+$D$139,NA())</f>
        <v>-515736.29430179275</v>
      </c>
      <c r="W139" s="30">
        <f>IF(W105="X",NPV($D$18,$E$138:W138)+$D$139,NA())</f>
        <v>-504689.64044764964</v>
      </c>
      <c r="X139" s="30">
        <f>IF(X105="X",NPV($D$18,$E$138:X138)+$D$139,NA())</f>
        <v>-494647.22785297409</v>
      </c>
      <c r="Y139" s="30" t="e">
        <f>IF(Y105="X",NPV($D$18,$E$138:Y138)+$D$139,NA())</f>
        <v>#N/A</v>
      </c>
      <c r="Z139" s="30" t="e">
        <f>IF(Z105="X",NPV($D$18,$E$138:Z138)+$D$139,NA())</f>
        <v>#N/A</v>
      </c>
      <c r="AA139" s="30" t="e">
        <f>IF(AA105="X",NPV($D$18,$E$138:AA138)+$D$139,NA())</f>
        <v>#N/A</v>
      </c>
      <c r="AB139" s="30" t="e">
        <f>IF(AB105="X",NPV($D$18,$E$138:AB138)+$D$139,NA())</f>
        <v>#N/A</v>
      </c>
      <c r="AC139" s="30" t="e">
        <f>IF(AC105="X",NPV($D$18,$E$138:AC138)+$D$139,NA())</f>
        <v>#N/A</v>
      </c>
      <c r="AD139" s="30" t="e">
        <f>IF(AD105="X",NPV($D$18,$E$138:AD138)+$D$139,NA())</f>
        <v>#N/A</v>
      </c>
      <c r="AE139" s="30" t="e">
        <f>IF(AE105="X",NPV($D$18,$E$138:AE138)+$D$139,NA())</f>
        <v>#N/A</v>
      </c>
      <c r="AF139" s="30" t="e">
        <f>IF(AF105="X",NPV($D$18,$E$138:AF138)+$D$139,NA())</f>
        <v>#N/A</v>
      </c>
      <c r="AG139" s="30" t="e">
        <f>IF(AG105="X",NPV($D$18,$E$138:AG138)+$D$139,NA())</f>
        <v>#N/A</v>
      </c>
      <c r="AH139" s="30" t="e">
        <f>IF(AH105="X",NPV($D$18,$E$138:AH138)+$D$139,NA())</f>
        <v>#N/A</v>
      </c>
      <c r="AI139" s="94" t="e">
        <f>IF(AI105="X",NPV($D$18,$E$138:AI138)+$D$139,NA())</f>
        <v>#N/A</v>
      </c>
      <c r="AJ139" s="14"/>
    </row>
    <row r="140" spans="2:36">
      <c r="B140" s="8"/>
      <c r="E140" s="30"/>
      <c r="AI140" s="96"/>
      <c r="AJ140" s="14"/>
    </row>
    <row r="141" spans="2:36" hidden="1" outlineLevel="1">
      <c r="B141" s="113" t="s">
        <v>106</v>
      </c>
      <c r="C141" s="141"/>
      <c r="D141" s="18"/>
      <c r="E141" s="71">
        <f>_xlfn.IFNA(IF(AND(E139&gt;=0,D139&lt;=0),1,0),0)</f>
        <v>0</v>
      </c>
      <c r="F141" s="71">
        <f t="shared" ref="F141:AI141" si="32">_xlfn.IFNA(IF(AND(F139&gt;=0,E139&lt;=0),1,0),0)</f>
        <v>0</v>
      </c>
      <c r="G141" s="71">
        <f t="shared" si="32"/>
        <v>0</v>
      </c>
      <c r="H141" s="71">
        <f t="shared" si="32"/>
        <v>0</v>
      </c>
      <c r="I141" s="71">
        <f t="shared" si="32"/>
        <v>0</v>
      </c>
      <c r="J141" s="71">
        <f t="shared" si="32"/>
        <v>0</v>
      </c>
      <c r="K141" s="71">
        <f t="shared" si="32"/>
        <v>0</v>
      </c>
      <c r="L141" s="71">
        <f t="shared" si="32"/>
        <v>0</v>
      </c>
      <c r="M141" s="71">
        <f t="shared" si="32"/>
        <v>0</v>
      </c>
      <c r="N141" s="71">
        <f t="shared" si="32"/>
        <v>0</v>
      </c>
      <c r="O141" s="71">
        <f t="shared" si="32"/>
        <v>0</v>
      </c>
      <c r="P141" s="71">
        <f t="shared" si="32"/>
        <v>0</v>
      </c>
      <c r="Q141" s="71">
        <f t="shared" si="32"/>
        <v>0</v>
      </c>
      <c r="R141" s="71">
        <f t="shared" si="32"/>
        <v>0</v>
      </c>
      <c r="S141" s="71">
        <f t="shared" si="32"/>
        <v>0</v>
      </c>
      <c r="T141" s="71">
        <f t="shared" si="32"/>
        <v>0</v>
      </c>
      <c r="U141" s="71">
        <f t="shared" si="32"/>
        <v>0</v>
      </c>
      <c r="V141" s="71">
        <f t="shared" si="32"/>
        <v>0</v>
      </c>
      <c r="W141" s="71">
        <f t="shared" si="32"/>
        <v>0</v>
      </c>
      <c r="X141" s="71">
        <f t="shared" si="32"/>
        <v>0</v>
      </c>
      <c r="Y141" s="71">
        <f t="shared" si="32"/>
        <v>0</v>
      </c>
      <c r="Z141" s="71">
        <f t="shared" si="32"/>
        <v>0</v>
      </c>
      <c r="AA141" s="71">
        <f t="shared" si="32"/>
        <v>0</v>
      </c>
      <c r="AB141" s="71">
        <f t="shared" si="32"/>
        <v>0</v>
      </c>
      <c r="AC141" s="71">
        <f t="shared" si="32"/>
        <v>0</v>
      </c>
      <c r="AD141" s="71">
        <f t="shared" si="32"/>
        <v>0</v>
      </c>
      <c r="AE141" s="71">
        <f t="shared" si="32"/>
        <v>0</v>
      </c>
      <c r="AF141" s="71">
        <f t="shared" si="32"/>
        <v>0</v>
      </c>
      <c r="AG141" s="71">
        <f t="shared" si="32"/>
        <v>0</v>
      </c>
      <c r="AH141" s="71">
        <f t="shared" si="32"/>
        <v>0</v>
      </c>
      <c r="AI141" s="71">
        <f t="shared" si="32"/>
        <v>0</v>
      </c>
      <c r="AJ141" s="14"/>
    </row>
    <row r="142" spans="2:36" hidden="1" outlineLevel="1">
      <c r="B142" s="113" t="s">
        <v>121</v>
      </c>
      <c r="C142" s="141"/>
      <c r="D142" s="18"/>
      <c r="E142" s="112">
        <f>IF(F141=1,ABS(E139)/(ABS(E139)+F139),0)</f>
        <v>0</v>
      </c>
      <c r="F142" s="112">
        <f t="shared" ref="F142:AH142" si="33">IF(G141=1,ABS(F139)/(ABS(F139)+G139),0)</f>
        <v>0</v>
      </c>
      <c r="G142" s="112">
        <f t="shared" si="33"/>
        <v>0</v>
      </c>
      <c r="H142" s="112">
        <f t="shared" si="33"/>
        <v>0</v>
      </c>
      <c r="I142" s="112">
        <f t="shared" si="33"/>
        <v>0</v>
      </c>
      <c r="J142" s="112">
        <f t="shared" si="33"/>
        <v>0</v>
      </c>
      <c r="K142" s="112">
        <f t="shared" si="33"/>
        <v>0</v>
      </c>
      <c r="L142" s="112">
        <f t="shared" si="33"/>
        <v>0</v>
      </c>
      <c r="M142" s="112">
        <f t="shared" si="33"/>
        <v>0</v>
      </c>
      <c r="N142" s="112">
        <f t="shared" si="33"/>
        <v>0</v>
      </c>
      <c r="O142" s="112">
        <f t="shared" si="33"/>
        <v>0</v>
      </c>
      <c r="P142" s="112">
        <f t="shared" si="33"/>
        <v>0</v>
      </c>
      <c r="Q142" s="112">
        <f t="shared" si="33"/>
        <v>0</v>
      </c>
      <c r="R142" s="112">
        <f t="shared" si="33"/>
        <v>0</v>
      </c>
      <c r="S142" s="112">
        <f t="shared" si="33"/>
        <v>0</v>
      </c>
      <c r="T142" s="112">
        <f t="shared" si="33"/>
        <v>0</v>
      </c>
      <c r="U142" s="112">
        <f t="shared" si="33"/>
        <v>0</v>
      </c>
      <c r="V142" s="112">
        <f t="shared" si="33"/>
        <v>0</v>
      </c>
      <c r="W142" s="112">
        <f t="shared" si="33"/>
        <v>0</v>
      </c>
      <c r="X142" s="112">
        <f t="shared" si="33"/>
        <v>0</v>
      </c>
      <c r="Y142" s="112">
        <f t="shared" si="33"/>
        <v>0</v>
      </c>
      <c r="Z142" s="112">
        <f t="shared" si="33"/>
        <v>0</v>
      </c>
      <c r="AA142" s="112">
        <f t="shared" si="33"/>
        <v>0</v>
      </c>
      <c r="AB142" s="112">
        <f t="shared" si="33"/>
        <v>0</v>
      </c>
      <c r="AC142" s="112">
        <f t="shared" si="33"/>
        <v>0</v>
      </c>
      <c r="AD142" s="112">
        <f t="shared" si="33"/>
        <v>0</v>
      </c>
      <c r="AE142" s="112">
        <f t="shared" si="33"/>
        <v>0</v>
      </c>
      <c r="AF142" s="112">
        <f t="shared" si="33"/>
        <v>0</v>
      </c>
      <c r="AG142" s="112">
        <f t="shared" si="33"/>
        <v>0</v>
      </c>
      <c r="AH142" s="112">
        <f t="shared" si="33"/>
        <v>0</v>
      </c>
      <c r="AI142" s="96"/>
      <c r="AJ142" s="14"/>
    </row>
    <row r="143" spans="2:36" hidden="1" outlineLevel="1">
      <c r="B143" s="8"/>
      <c r="AI143" s="96"/>
      <c r="AJ143" s="14"/>
    </row>
    <row r="144" spans="2:36" hidden="1" outlineLevel="1">
      <c r="B144" s="183" t="s">
        <v>114</v>
      </c>
      <c r="C144" s="96"/>
      <c r="D144" s="94" cm="1">
        <f t="array" ref="D144">_xlfn.IFS(Data!$C$12=5,NPV($D$18,E138:I138)+D138,Data!$C$12=10,NPV($D$18,E138:N138)+D138,Data!$C$12=15,NPV($D$18,E138:S138)+D138,Data!$C$12=20,NPV($D$18,E138:X138)+D138,Data!$C$12=25,NPV($D$18,E138:AC138)+D138,Data!$C$12=30,NPV($D$18,E138:AH138)+D138)</f>
        <v>-494647.22785297409</v>
      </c>
      <c r="E144" s="48"/>
      <c r="AI144" s="96"/>
      <c r="AJ144" s="14"/>
    </row>
    <row r="145" spans="2:36" hidden="1" outlineLevel="1">
      <c r="B145" s="183" t="s">
        <v>101</v>
      </c>
      <c r="C145" s="96"/>
      <c r="D145" s="93" cm="1">
        <f t="array" ref="D145">_xlfn.IFS(Data!$C$12=5,MIRR(D138:I138,$D$18,$D$18),Data!$C$12=10,MIRR(D138:N138,$D$18,$D$18),Data!$C$12=15,MIRR(D138:S138,$D$18,$D$18),Data!$C$12=20,MIRR(D138:X138,$D$18,$D$18),Data!$C$12=25,MIRR(D138:AC138,$D$18,$D$18),Data!$C$12=30,MIRR(D138:AH138,$D$18,$D$18))</f>
        <v>4.5105718544981244E-2</v>
      </c>
      <c r="E145" s="48"/>
      <c r="AI145" s="96"/>
      <c r="AJ145" s="14"/>
    </row>
    <row r="146" spans="2:36" hidden="1" outlineLevel="1">
      <c r="B146" s="183" t="s">
        <v>106</v>
      </c>
      <c r="C146" s="96"/>
      <c r="D146" s="188" t="str">
        <f>_xlfn.IFNA(MATCH(1,E141:AH141,0)-1+SUM(E142:AH142),"-")</f>
        <v>-</v>
      </c>
      <c r="E146" s="48"/>
      <c r="AI146" s="96"/>
      <c r="AJ146" s="14"/>
    </row>
    <row r="147" spans="2:36" hidden="1" outlineLevel="1">
      <c r="B147" s="22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185"/>
      <c r="AJ147" s="24"/>
    </row>
    <row r="148" spans="2:36" collapsed="1">
      <c r="E148" s="132"/>
      <c r="F148" s="132"/>
    </row>
    <row r="149" spans="2:36">
      <c r="B149" s="161" t="s">
        <v>116</v>
      </c>
      <c r="C149" s="162"/>
      <c r="D149" s="163">
        <f>Känslighetsanalys!J10</f>
        <v>0.1</v>
      </c>
      <c r="E149" s="189"/>
      <c r="F149" s="189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181"/>
      <c r="AJ149" s="182"/>
    </row>
    <row r="150" spans="2:36">
      <c r="B150" s="164" t="s">
        <v>49</v>
      </c>
      <c r="C150" s="165"/>
      <c r="D150" s="166">
        <f>Känslighetsanalys!J11</f>
        <v>-0.1</v>
      </c>
      <c r="AI150" s="96"/>
      <c r="AJ150" s="14"/>
    </row>
    <row r="151" spans="2:36">
      <c r="B151" s="167" t="s">
        <v>124</v>
      </c>
      <c r="C151" s="168"/>
      <c r="D151" s="169">
        <f>Känslighetsanalys!J12</f>
        <v>0.1</v>
      </c>
      <c r="AI151" s="96"/>
      <c r="AJ151" s="14"/>
    </row>
    <row r="152" spans="2:36">
      <c r="B152" s="158" t="s">
        <v>125</v>
      </c>
      <c r="C152" s="159"/>
      <c r="D152" s="160"/>
      <c r="E152" s="18">
        <v>1</v>
      </c>
      <c r="F152" s="27">
        <v>2</v>
      </c>
      <c r="G152" s="27">
        <v>3</v>
      </c>
      <c r="H152" s="27">
        <v>4</v>
      </c>
      <c r="I152" s="27">
        <v>5</v>
      </c>
      <c r="J152" s="27">
        <v>6</v>
      </c>
      <c r="K152" s="27">
        <v>7</v>
      </c>
      <c r="L152" s="27">
        <v>8</v>
      </c>
      <c r="M152" s="27">
        <v>9</v>
      </c>
      <c r="N152" s="27">
        <v>10</v>
      </c>
      <c r="O152" s="27">
        <v>11</v>
      </c>
      <c r="P152" s="27">
        <v>12</v>
      </c>
      <c r="Q152" s="27">
        <v>13</v>
      </c>
      <c r="R152" s="27">
        <v>14</v>
      </c>
      <c r="S152" s="27">
        <v>15</v>
      </c>
      <c r="T152" s="27">
        <v>16</v>
      </c>
      <c r="U152" s="27">
        <v>17</v>
      </c>
      <c r="V152" s="27">
        <v>18</v>
      </c>
      <c r="W152" s="27">
        <v>19</v>
      </c>
      <c r="X152" s="27">
        <v>20</v>
      </c>
      <c r="Y152" s="27">
        <v>21</v>
      </c>
      <c r="Z152" s="27">
        <v>22</v>
      </c>
      <c r="AA152" s="27">
        <v>23</v>
      </c>
      <c r="AB152" s="27">
        <v>24</v>
      </c>
      <c r="AC152" s="27">
        <v>25</v>
      </c>
      <c r="AD152" s="27">
        <v>26</v>
      </c>
      <c r="AE152" s="27">
        <v>27</v>
      </c>
      <c r="AF152" s="27">
        <v>28</v>
      </c>
      <c r="AG152" s="27">
        <v>29</v>
      </c>
      <c r="AH152" s="27">
        <v>30</v>
      </c>
      <c r="AI152" s="96"/>
      <c r="AJ152" s="14"/>
    </row>
    <row r="153" spans="2:36">
      <c r="B153" s="8" t="s">
        <v>117</v>
      </c>
      <c r="D153" s="30">
        <f>$D$20*(100%+D149)</f>
        <v>-495000.00000000006</v>
      </c>
      <c r="E153" s="30">
        <f t="shared" ref="E153:AH153" si="34">IF(E105="X",(E77*(100%+$D$150))+E88*(100%+$D$151),NA())</f>
        <v>-124200.00000000001</v>
      </c>
      <c r="F153" s="30">
        <f t="shared" si="34"/>
        <v>-141558</v>
      </c>
      <c r="G153" s="30">
        <f t="shared" si="34"/>
        <v>-28441.079999999987</v>
      </c>
      <c r="H153" s="30">
        <f t="shared" si="34"/>
        <v>-40349.979200000002</v>
      </c>
      <c r="I153" s="30">
        <f t="shared" si="34"/>
        <v>28464.541287999979</v>
      </c>
      <c r="J153" s="30">
        <f t="shared" si="34"/>
        <v>11001.697787919955</v>
      </c>
      <c r="K153" s="30">
        <f t="shared" si="34"/>
        <v>10010.683388063189</v>
      </c>
      <c r="L153" s="30">
        <f t="shared" si="34"/>
        <v>69740.667249540798</v>
      </c>
      <c r="M153" s="30">
        <f t="shared" si="34"/>
        <v>68690.793894059432</v>
      </c>
      <c r="N153" s="30">
        <f t="shared" si="34"/>
        <v>67610.182470454311</v>
      </c>
      <c r="O153" s="30">
        <f t="shared" si="34"/>
        <v>66497.925999332481</v>
      </c>
      <c r="P153" s="30">
        <f t="shared" si="34"/>
        <v>66497.925999332481</v>
      </c>
      <c r="Q153" s="30">
        <f t="shared" si="34"/>
        <v>66497.925999332481</v>
      </c>
      <c r="R153" s="30">
        <f t="shared" si="34"/>
        <v>66497.925999332481</v>
      </c>
      <c r="S153" s="30">
        <f t="shared" si="34"/>
        <v>66497.925999332481</v>
      </c>
      <c r="T153" s="30">
        <f t="shared" si="34"/>
        <v>65353.090595172253</v>
      </c>
      <c r="U153" s="30">
        <f t="shared" si="34"/>
        <v>65353.090595172253</v>
      </c>
      <c r="V153" s="30">
        <f t="shared" si="34"/>
        <v>65353.090595172253</v>
      </c>
      <c r="W153" s="30">
        <f t="shared" si="34"/>
        <v>65353.090595172253</v>
      </c>
      <c r="X153" s="30">
        <f t="shared" si="34"/>
        <v>65353.090595172253</v>
      </c>
      <c r="Y153" s="30" t="e">
        <f t="shared" si="34"/>
        <v>#N/A</v>
      </c>
      <c r="Z153" s="30" t="e">
        <f t="shared" si="34"/>
        <v>#N/A</v>
      </c>
      <c r="AA153" s="30" t="e">
        <f t="shared" si="34"/>
        <v>#N/A</v>
      </c>
      <c r="AB153" s="30" t="e">
        <f t="shared" si="34"/>
        <v>#N/A</v>
      </c>
      <c r="AC153" s="30" t="e">
        <f t="shared" si="34"/>
        <v>#N/A</v>
      </c>
      <c r="AD153" s="30" t="e">
        <f t="shared" si="34"/>
        <v>#N/A</v>
      </c>
      <c r="AE153" s="30" t="e">
        <f t="shared" si="34"/>
        <v>#N/A</v>
      </c>
      <c r="AF153" s="30" t="e">
        <f t="shared" si="34"/>
        <v>#N/A</v>
      </c>
      <c r="AG153" s="30" t="e">
        <f t="shared" si="34"/>
        <v>#N/A</v>
      </c>
      <c r="AH153" s="30" t="e">
        <f t="shared" si="34"/>
        <v>#N/A</v>
      </c>
      <c r="AI153" s="95" t="e">
        <f>AH153</f>
        <v>#N/A</v>
      </c>
      <c r="AJ153" s="14"/>
    </row>
    <row r="154" spans="2:36">
      <c r="B154" s="8" t="s">
        <v>119</v>
      </c>
      <c r="D154" s="30">
        <f>D153</f>
        <v>-495000.00000000006</v>
      </c>
      <c r="E154" s="30">
        <f>IF(E105="X",NPV($D$18,$E$153:E153)+$D$154,NA())</f>
        <v>-607909.09090909094</v>
      </c>
      <c r="F154" s="30">
        <f>IF(F105="X",NPV($D$18,$E$153:F153)+$D$154,NA())</f>
        <v>-724899.17355371907</v>
      </c>
      <c r="G154" s="30">
        <f>IF(G105="X",NPV($D$18,$E$153:G153)+$D$154,NA())</f>
        <v>-746267.37791134487</v>
      </c>
      <c r="H154" s="30">
        <f>IF(H105="X",NPV($D$18,$E$153:H153)+$D$154,NA())</f>
        <v>-773826.95662864554</v>
      </c>
      <c r="I154" s="30">
        <f>IF(I105="X",NPV($D$18,$E$153:I153)+$D$154,NA())</f>
        <v>-756152.71599182871</v>
      </c>
      <c r="J154" s="30">
        <f>IF(J105="X",NPV($D$18,$E$153:J153)+$D$154,NA())</f>
        <v>-749942.54440421762</v>
      </c>
      <c r="K154" s="30">
        <f>IF(K105="X",NPV($D$18,$E$153:K153)+$D$154,NA())</f>
        <v>-744805.48095459573</v>
      </c>
      <c r="L154" s="30">
        <f>IF(L105="X",NPV($D$18,$E$153:L153)+$D$154,NA())</f>
        <v>-712270.94498193369</v>
      </c>
      <c r="M154" s="30">
        <f>IF(M105="X",NPV($D$18,$E$153:M153)+$D$154,NA())</f>
        <v>-683139.34288734791</v>
      </c>
      <c r="N154" s="30">
        <f>IF(N105="X",NPV($D$18,$E$153:N153)+$D$154,NA())</f>
        <v>-657072.69073875807</v>
      </c>
      <c r="O154" s="30">
        <f>IF(O105="X",NPV($D$18,$E$153:O153)+$D$154,NA())</f>
        <v>-633765.57334782695</v>
      </c>
      <c r="P154" s="30">
        <f>IF(P105="X",NPV($D$18,$E$153:P153)+$D$154,NA())</f>
        <v>-612577.28481061687</v>
      </c>
      <c r="Q154" s="30">
        <f>IF(Q105="X",NPV($D$18,$E$153:Q153)+$D$154,NA())</f>
        <v>-593315.20432224416</v>
      </c>
      <c r="R154" s="30">
        <f>IF(R105="X",NPV($D$18,$E$153:R153)+$D$154,NA())</f>
        <v>-575804.22206008702</v>
      </c>
      <c r="S154" s="30">
        <f>IF(S105="X",NPV($D$18,$E$153:S153)+$D$154,NA())</f>
        <v>-559885.14727630792</v>
      </c>
      <c r="T154" s="30">
        <f>IF(T105="X",NPV($D$18,$E$153:T153)+$D$154,NA())</f>
        <v>-545662.41064886528</v>
      </c>
      <c r="U154" s="30">
        <f>IF(U105="X",NPV($D$18,$E$153:U153)+$D$154,NA())</f>
        <v>-532732.6500784629</v>
      </c>
      <c r="V154" s="30">
        <f>IF(V105="X",NPV($D$18,$E$153:V153)+$D$154,NA())</f>
        <v>-520978.32228718797</v>
      </c>
      <c r="W154" s="30">
        <f>IF(W105="X",NPV($D$18,$E$153:W153)+$D$154,NA())</f>
        <v>-510292.56974966533</v>
      </c>
      <c r="X154" s="30">
        <f>IF(X105="X",NPV($D$18,$E$153:X153)+$D$154,NA())</f>
        <v>-500578.2492610084</v>
      </c>
      <c r="Y154" s="30" t="e">
        <f>IF(Y105="X",NPV($D$18,$E$153:Y153)+$D$154,NA())</f>
        <v>#N/A</v>
      </c>
      <c r="Z154" s="30" t="e">
        <f>IF(Z105="X",NPV($D$18,$E$153:Z153)+$D$154,NA())</f>
        <v>#N/A</v>
      </c>
      <c r="AA154" s="30" t="e">
        <f>IF(AA105="X",NPV($D$18,$E$153:AA153)+$D$154,NA())</f>
        <v>#N/A</v>
      </c>
      <c r="AB154" s="30" t="e">
        <f>IF(AB105="X",NPV($D$18,$E$153:AB153)+$D$154,NA())</f>
        <v>#N/A</v>
      </c>
      <c r="AC154" s="30" t="e">
        <f>IF(AC105="X",NPV($D$18,$E$153:AC153)+$D$154,NA())</f>
        <v>#N/A</v>
      </c>
      <c r="AD154" s="30" t="e">
        <f>IF(AD105="X",NPV($D$18,$E$153:AD153)+$D$154,NA())</f>
        <v>#N/A</v>
      </c>
      <c r="AE154" s="30" t="e">
        <f>IF(AE105="X",NPV($D$18,$E$153:AE153)+$D$154,NA())</f>
        <v>#N/A</v>
      </c>
      <c r="AF154" s="30" t="e">
        <f>IF(AF105="X",NPV($D$18,$E$153:AF153)+$D$154,NA())</f>
        <v>#N/A</v>
      </c>
      <c r="AG154" s="30" t="e">
        <f>IF(AG105="X",NPV($D$18,$E$153:AG153)+$D$154,NA())</f>
        <v>#N/A</v>
      </c>
      <c r="AH154" s="30" t="e">
        <f>IF(AH105="X",NPV($D$18,$E$153:AH153)+$D$154,NA())</f>
        <v>#N/A</v>
      </c>
      <c r="AI154" s="94" t="e">
        <f>IF(AI105="X",NPV($D$18,$E$153:AI153)+$D$154,NA())</f>
        <v>#N/A</v>
      </c>
      <c r="AJ154" s="14"/>
    </row>
    <row r="155" spans="2:36">
      <c r="B155" s="8"/>
      <c r="E155" s="30"/>
      <c r="AI155" s="96"/>
      <c r="AJ155" s="14"/>
    </row>
    <row r="156" spans="2:36" hidden="1" outlineLevel="1">
      <c r="B156" s="113" t="s">
        <v>106</v>
      </c>
      <c r="C156" s="141"/>
      <c r="D156" s="18"/>
      <c r="E156" s="71">
        <f>_xlfn.IFNA(IF(AND(E154&gt;=0,D154&lt;=0),1,0),0)</f>
        <v>0</v>
      </c>
      <c r="F156" s="71">
        <f t="shared" ref="F156:AI156" si="35">_xlfn.IFNA(IF(AND(F154&gt;=0,E154&lt;=0),1,0),0)</f>
        <v>0</v>
      </c>
      <c r="G156" s="71">
        <f t="shared" si="35"/>
        <v>0</v>
      </c>
      <c r="H156" s="71">
        <f t="shared" si="35"/>
        <v>0</v>
      </c>
      <c r="I156" s="71">
        <f t="shared" si="35"/>
        <v>0</v>
      </c>
      <c r="J156" s="71">
        <f t="shared" si="35"/>
        <v>0</v>
      </c>
      <c r="K156" s="71">
        <f t="shared" si="35"/>
        <v>0</v>
      </c>
      <c r="L156" s="71">
        <f t="shared" si="35"/>
        <v>0</v>
      </c>
      <c r="M156" s="71">
        <f t="shared" si="35"/>
        <v>0</v>
      </c>
      <c r="N156" s="71">
        <f t="shared" si="35"/>
        <v>0</v>
      </c>
      <c r="O156" s="71">
        <f t="shared" si="35"/>
        <v>0</v>
      </c>
      <c r="P156" s="71">
        <f t="shared" si="35"/>
        <v>0</v>
      </c>
      <c r="Q156" s="71">
        <f t="shared" si="35"/>
        <v>0</v>
      </c>
      <c r="R156" s="71">
        <f t="shared" si="35"/>
        <v>0</v>
      </c>
      <c r="S156" s="71">
        <f t="shared" si="35"/>
        <v>0</v>
      </c>
      <c r="T156" s="71">
        <f t="shared" si="35"/>
        <v>0</v>
      </c>
      <c r="U156" s="71">
        <f t="shared" si="35"/>
        <v>0</v>
      </c>
      <c r="V156" s="71">
        <f t="shared" si="35"/>
        <v>0</v>
      </c>
      <c r="W156" s="71">
        <f t="shared" si="35"/>
        <v>0</v>
      </c>
      <c r="X156" s="71">
        <f t="shared" si="35"/>
        <v>0</v>
      </c>
      <c r="Y156" s="71">
        <f t="shared" si="35"/>
        <v>0</v>
      </c>
      <c r="Z156" s="71">
        <f t="shared" si="35"/>
        <v>0</v>
      </c>
      <c r="AA156" s="71">
        <f t="shared" si="35"/>
        <v>0</v>
      </c>
      <c r="AB156" s="71">
        <f t="shared" si="35"/>
        <v>0</v>
      </c>
      <c r="AC156" s="71">
        <f t="shared" si="35"/>
        <v>0</v>
      </c>
      <c r="AD156" s="71">
        <f t="shared" si="35"/>
        <v>0</v>
      </c>
      <c r="AE156" s="71">
        <f t="shared" si="35"/>
        <v>0</v>
      </c>
      <c r="AF156" s="71">
        <f t="shared" si="35"/>
        <v>0</v>
      </c>
      <c r="AG156" s="71">
        <f t="shared" si="35"/>
        <v>0</v>
      </c>
      <c r="AH156" s="71">
        <f t="shared" si="35"/>
        <v>0</v>
      </c>
      <c r="AI156" s="71">
        <f t="shared" si="35"/>
        <v>0</v>
      </c>
      <c r="AJ156" s="14"/>
    </row>
    <row r="157" spans="2:36" hidden="1" outlineLevel="1">
      <c r="B157" s="113" t="s">
        <v>121</v>
      </c>
      <c r="C157" s="141"/>
      <c r="D157" s="18"/>
      <c r="E157" s="112">
        <f>IF(F156=1,ABS(E154)/(ABS(E154)+F154),0)</f>
        <v>0</v>
      </c>
      <c r="F157" s="112">
        <f t="shared" ref="F157:AH157" si="36">IF(G156=1,ABS(F154)/(ABS(F154)+G154),0)</f>
        <v>0</v>
      </c>
      <c r="G157" s="112">
        <f t="shared" si="36"/>
        <v>0</v>
      </c>
      <c r="H157" s="112">
        <f t="shared" si="36"/>
        <v>0</v>
      </c>
      <c r="I157" s="112">
        <f t="shared" si="36"/>
        <v>0</v>
      </c>
      <c r="J157" s="112">
        <f t="shared" si="36"/>
        <v>0</v>
      </c>
      <c r="K157" s="112">
        <f t="shared" si="36"/>
        <v>0</v>
      </c>
      <c r="L157" s="112">
        <f t="shared" si="36"/>
        <v>0</v>
      </c>
      <c r="M157" s="112">
        <f t="shared" si="36"/>
        <v>0</v>
      </c>
      <c r="N157" s="112">
        <f t="shared" si="36"/>
        <v>0</v>
      </c>
      <c r="O157" s="112">
        <f t="shared" si="36"/>
        <v>0</v>
      </c>
      <c r="P157" s="112">
        <f t="shared" si="36"/>
        <v>0</v>
      </c>
      <c r="Q157" s="112">
        <f t="shared" si="36"/>
        <v>0</v>
      </c>
      <c r="R157" s="112">
        <f t="shared" si="36"/>
        <v>0</v>
      </c>
      <c r="S157" s="112">
        <f t="shared" si="36"/>
        <v>0</v>
      </c>
      <c r="T157" s="112">
        <f t="shared" si="36"/>
        <v>0</v>
      </c>
      <c r="U157" s="112">
        <f t="shared" si="36"/>
        <v>0</v>
      </c>
      <c r="V157" s="112">
        <f t="shared" si="36"/>
        <v>0</v>
      </c>
      <c r="W157" s="112">
        <f t="shared" si="36"/>
        <v>0</v>
      </c>
      <c r="X157" s="112">
        <f t="shared" si="36"/>
        <v>0</v>
      </c>
      <c r="Y157" s="112">
        <f t="shared" si="36"/>
        <v>0</v>
      </c>
      <c r="Z157" s="112">
        <f t="shared" si="36"/>
        <v>0</v>
      </c>
      <c r="AA157" s="112">
        <f t="shared" si="36"/>
        <v>0</v>
      </c>
      <c r="AB157" s="112">
        <f t="shared" si="36"/>
        <v>0</v>
      </c>
      <c r="AC157" s="112">
        <f t="shared" si="36"/>
        <v>0</v>
      </c>
      <c r="AD157" s="112">
        <f t="shared" si="36"/>
        <v>0</v>
      </c>
      <c r="AE157" s="112">
        <f t="shared" si="36"/>
        <v>0</v>
      </c>
      <c r="AF157" s="112">
        <f t="shared" si="36"/>
        <v>0</v>
      </c>
      <c r="AG157" s="112">
        <f t="shared" si="36"/>
        <v>0</v>
      </c>
      <c r="AH157" s="112">
        <f t="shared" si="36"/>
        <v>0</v>
      </c>
      <c r="AI157" s="96"/>
      <c r="AJ157" s="14"/>
    </row>
    <row r="158" spans="2:36" hidden="1" outlineLevel="1">
      <c r="B158" s="8"/>
      <c r="AI158" s="96"/>
      <c r="AJ158" s="14"/>
    </row>
    <row r="159" spans="2:36" hidden="1" outlineLevel="1">
      <c r="B159" s="183" t="s">
        <v>126</v>
      </c>
      <c r="C159" s="96"/>
      <c r="D159" s="94" cm="1">
        <f t="array" ref="D159">_xlfn.IFS(Data!$C$12=5,NPV($D$18,E153:I153)+D153,Data!$C$12=10,NPV($D$18,E153:N153)+D153,Data!$C$12=15,NPV($D$18,E153:S153)+D153,Data!$C$12=20,NPV($D$18,E153:X153)+D153,Data!$C$12=25,NPV($D$18,E153:AC153)+D153,Data!$C$12=30,NPV($D$18,E153:AH153)+D153)</f>
        <v>-500578.2492610084</v>
      </c>
      <c r="E159" s="48"/>
      <c r="AI159" s="96"/>
      <c r="AJ159" s="14"/>
    </row>
    <row r="160" spans="2:36" hidden="1" outlineLevel="1">
      <c r="B160" s="183" t="s">
        <v>101</v>
      </c>
      <c r="C160" s="96"/>
      <c r="D160" s="93" cm="1">
        <f t="array" ref="D160">_xlfn.IFS(Data!$C$12=5,MIRR(D153:I153,$D$18,$D$18),Data!$C$12=10,MIRR(D153:N153,$D$18,$D$18),Data!$C$12=15,MIRR(D153:S153,$D$18,$D$18),Data!$C$12=20,MIRR(D153:X153,$D$18,$D$18),Data!$C$12=25,MIRR(D153:AC153,$D$18,$D$18),Data!$C$12=30,MIRR(D153:AH153,$D$18,$D$18))</f>
        <v>4.4211323069308639E-2</v>
      </c>
      <c r="E160" s="48"/>
      <c r="AI160" s="96"/>
      <c r="AJ160" s="14"/>
    </row>
    <row r="161" spans="2:36" hidden="1" outlineLevel="1">
      <c r="B161" s="184" t="s">
        <v>106</v>
      </c>
      <c r="C161" s="185"/>
      <c r="D161" s="186" t="str">
        <f>_xlfn.IFNA(MATCH(1,E156:AH156,0)-1+SUM(E157:AH157),"-")</f>
        <v>-</v>
      </c>
      <c r="E161" s="187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185"/>
      <c r="AJ161" s="24"/>
    </row>
    <row r="162" spans="2:36" collapsed="1"/>
  </sheetData>
  <sheetProtection algorithmName="SHA-512" hashValue="EY+c9Z7s1CQ4cnbz6mDy1seaO0De0/nqR9IYPI3H+pBPsksRykfry8FeO2aVW6uuyXftGpSEMs8Df+L9vz6Qvg==" saltValue="B96VsKWwrX8RMAb8Fja9+Q==" spinCount="100000" sheet="1" autoFilter="0" pivotTables="0"/>
  <mergeCells count="4">
    <mergeCell ref="E4:H4"/>
    <mergeCell ref="O21:R21"/>
    <mergeCell ref="B23:C23"/>
    <mergeCell ref="O38:R38"/>
  </mergeCells>
  <dataValidations count="3">
    <dataValidation type="whole" errorStyle="warning" operator="lessThanOrEqual" allowBlank="1" showInputMessage="1" showErrorMessage="1" errorTitle="Notera" error="Ange belopp med minustecken" sqref="E86:R86 E32:R32 E80:R83 E26:R29" xr:uid="{7E20A08E-E7C1-4765-B1CF-154DA19BA545}">
      <formula1>0</formula1>
    </dataValidation>
    <dataValidation type="whole" errorStyle="warning" operator="greaterThanOrEqual" allowBlank="1" showInputMessage="1" showErrorMessage="1" error="Kontrollera belopp" sqref="E77:R77 E23:S23" xr:uid="{A156D17F-7C87-4099-B29D-1AAF5F43F083}">
      <formula1>0</formula1>
    </dataValidation>
    <dataValidation type="whole" operator="lessThanOrEqual" allowBlank="1" showInputMessage="1" showErrorMessage="1" errorTitle="Felaktigt belopp" error="Belopp måste anges &lt;0" promptTitle="Kostnad investering" prompt="Ange belopp med minustecken" sqref="D20" xr:uid="{FA848FF1-B71F-4E4D-8E36-7F44984601CF}">
      <formula1>0</formula1>
    </dataValidation>
  </dataValidations>
  <pageMargins left="0.7" right="0.7" top="0.75" bottom="0.75" header="0.3" footer="0.3"/>
  <pageSetup paperSize="9" scale="75" fitToHeight="0" orientation="landscape" r:id="rId1"/>
  <rowBreaks count="1" manualBreakCount="1">
    <brk id="37" max="16383" man="1"/>
  </rowBreaks>
  <ignoredErrors>
    <ignoredError sqref="E93:AH95 E87:AH90 E84:AH85 E78:AH79 E77:AH77 S80:AH83 S86:AH86 E92:AH92 G97 F96:AC96 G98 I98:AH98 I97:AH97 AE96:AH96" unlockedFormula="1"/>
    <ignoredError sqref="R36:R37 Q36:Q37 E36:P37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CB920A0-AFF9-4281-A83E-F48861D08DEC}">
            <xm:f>Data!$C$12&gt;=10</xm:f>
            <x14:dxf>
              <fill>
                <patternFill>
                  <bgColor theme="4" tint="0.79998168889431442"/>
                </patternFill>
              </fill>
            </x14:dxf>
          </x14:cfRule>
          <xm:sqref>J23:N23 J26:N29 J32:N32</xm:sqref>
        </x14:conditionalFormatting>
        <x14:conditionalFormatting xmlns:xm="http://schemas.microsoft.com/office/excel/2006/main">
          <x14:cfRule type="expression" priority="2" id="{A9CC9524-6549-4D10-82D3-2BAB78AEEDC2}">
            <xm:f>Data!$C$12&gt;=11</xm:f>
            <x14:dxf>
              <fill>
                <patternFill>
                  <bgColor theme="4" tint="0.79998168889431442"/>
                </patternFill>
              </fill>
            </x14:dxf>
          </x14:cfRule>
          <xm:sqref>O23 O26:O29 O32</xm:sqref>
        </x14:conditionalFormatting>
        <x14:conditionalFormatting xmlns:xm="http://schemas.microsoft.com/office/excel/2006/main">
          <x14:cfRule type="expression" priority="3" id="{91C73B35-D17B-40C0-AEA0-E8EB04563749}">
            <xm:f>Data!$C$12&gt;=16</xm:f>
            <x14:dxf>
              <fill>
                <patternFill>
                  <bgColor theme="4" tint="0.79998168889431442"/>
                </patternFill>
              </fill>
            </x14:dxf>
          </x14:cfRule>
          <xm:sqref>P23 P26:P29 P32</xm:sqref>
        </x14:conditionalFormatting>
        <x14:conditionalFormatting xmlns:xm="http://schemas.microsoft.com/office/excel/2006/main">
          <x14:cfRule type="expression" priority="4" id="{C5E53AC4-DE2B-4887-A4EE-0F8F3AA129C6}">
            <xm:f>Data!$C$12&gt;=21</xm:f>
            <x14:dxf>
              <fill>
                <patternFill>
                  <bgColor theme="4" tint="0.79998168889431442"/>
                </patternFill>
              </fill>
            </x14:dxf>
          </x14:cfRule>
          <xm:sqref>Q23 Q26:Q29 Q32</xm:sqref>
        </x14:conditionalFormatting>
        <x14:conditionalFormatting xmlns:xm="http://schemas.microsoft.com/office/excel/2006/main">
          <x14:cfRule type="expression" priority="5" id="{7D4032B4-C11C-49F4-A4D5-CDBD94EB951F}">
            <xm:f>Data!$C$12&gt;=26</xm:f>
            <x14:dxf>
              <fill>
                <patternFill>
                  <bgColor theme="4" tint="0.79998168889431442"/>
                </patternFill>
              </fill>
            </x14:dxf>
          </x14:cfRule>
          <xm:sqref>R23 R26:R29 R32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Kontrollera val" promptTitle="Gör val i lista" prompt="ange antal år/intervall" xr:uid="{A150C6AA-22BE-4444-AAFF-A06F2F965C74}">
          <x14:formula1>
            <xm:f>Data!$B$4:$B$9</xm:f>
          </x14:formula1>
          <xm:sqref>D17</xm:sqref>
        </x14:dataValidation>
        <x14:dataValidation type="list" allowBlank="1" showInputMessage="1" showErrorMessage="1" xr:uid="{190498E5-4190-4A5A-ACF9-1A7F6190E89C}">
          <x14:formula1>
            <xm:f>Data!$E$4:$E$5</xm:f>
          </x14:formula1>
          <xm:sqref>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6866C-445B-4E7F-B991-17288E164927}">
  <sheetPr>
    <tabColor theme="6"/>
    <pageSetUpPr fitToPage="1"/>
  </sheetPr>
  <dimension ref="B2:AH46"/>
  <sheetViews>
    <sheetView showGridLines="0" zoomScale="80" zoomScaleNormal="80" workbookViewId="0">
      <selection activeCell="N20" sqref="N20"/>
    </sheetView>
  </sheetViews>
  <sheetFormatPr defaultColWidth="9.140625" defaultRowHeight="14.45"/>
  <cols>
    <col min="1" max="1" width="5.7109375" customWidth="1"/>
    <col min="2" max="2" width="28.85546875" bestFit="1" customWidth="1"/>
    <col min="3" max="10" width="15.7109375" customWidth="1"/>
    <col min="11" max="11" width="9.140625" customWidth="1"/>
    <col min="15" max="19" width="9.140625" customWidth="1"/>
  </cols>
  <sheetData>
    <row r="2" spans="2:19" ht="21">
      <c r="B2" s="6" t="s">
        <v>127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4" spans="2:19">
      <c r="B4" t="s">
        <v>128</v>
      </c>
      <c r="Q4" s="50"/>
      <c r="R4" s="50"/>
      <c r="S4" s="50"/>
    </row>
    <row r="5" spans="2:19">
      <c r="B5" t="s">
        <v>129</v>
      </c>
    </row>
    <row r="6" spans="2:19">
      <c r="I6" s="273" t="s">
        <v>130</v>
      </c>
      <c r="J6" s="274"/>
    </row>
    <row r="7" spans="2:19" ht="9.9499999999999993" customHeight="1"/>
    <row r="8" spans="2:19">
      <c r="B8" s="51"/>
      <c r="C8" s="170" t="str">
        <f>Känslighetsanalys!C42</f>
        <v>Grundkalkyl</v>
      </c>
      <c r="D8" s="172" t="str">
        <f>C43</f>
        <v>Investering</v>
      </c>
      <c r="E8" s="174" t="str">
        <f>C44</f>
        <v>Intäkt</v>
      </c>
      <c r="F8" s="176" t="str">
        <f>C45</f>
        <v>Kostnad</v>
      </c>
      <c r="G8" s="178" t="str">
        <f>C46</f>
        <v>Variabel</v>
      </c>
      <c r="I8" s="271" t="s">
        <v>131</v>
      </c>
      <c r="J8" s="272"/>
      <c r="L8" s="1"/>
    </row>
    <row r="9" spans="2:19">
      <c r="B9" s="51"/>
      <c r="C9" s="171"/>
      <c r="D9" s="173">
        <f>Investeringskalkyl!D115</f>
        <v>0.25</v>
      </c>
      <c r="E9" s="175">
        <f>Investeringskalkyl!D126</f>
        <v>-0.25</v>
      </c>
      <c r="F9" s="177">
        <f>Investeringskalkyl!D137</f>
        <v>0.25</v>
      </c>
      <c r="G9" s="179"/>
      <c r="I9" s="194"/>
      <c r="J9" s="195"/>
      <c r="L9" s="1"/>
    </row>
    <row r="10" spans="2:19">
      <c r="B10" s="27" t="s">
        <v>126</v>
      </c>
      <c r="C10" s="52">
        <f>Investeringskalkyl!D40</f>
        <v>-148604.66978628974</v>
      </c>
      <c r="D10" s="52">
        <f>Investeringskalkyl!D122</f>
        <v>-261104.66978628974</v>
      </c>
      <c r="E10" s="52">
        <f>Investeringskalkyl!D133</f>
        <v>-569996.06040640175</v>
      </c>
      <c r="F10" s="52">
        <f>Investeringskalkyl!D144</f>
        <v>-494647.22785297409</v>
      </c>
      <c r="G10" s="52">
        <f>Investeringskalkyl!D159</f>
        <v>-500578.2492610084</v>
      </c>
      <c r="I10" s="27" t="s">
        <v>116</v>
      </c>
      <c r="J10" s="69">
        <v>0.1</v>
      </c>
      <c r="K10" s="49" t="s">
        <v>132</v>
      </c>
      <c r="N10" s="44"/>
    </row>
    <row r="11" spans="2:19">
      <c r="B11" s="51" t="s">
        <v>101</v>
      </c>
      <c r="C11" s="191">
        <f>Investeringskalkyl!D41</f>
        <v>8.6150162786833739E-2</v>
      </c>
      <c r="D11" s="191">
        <f>Investeringskalkyl!D123</f>
        <v>7.7681635723494624E-2</v>
      </c>
      <c r="E11" s="191">
        <f>Investeringskalkyl!D134</f>
        <v>1.8376377080323802E-2</v>
      </c>
      <c r="F11" s="191">
        <f>Investeringskalkyl!D145</f>
        <v>4.5105718544981244E-2</v>
      </c>
      <c r="G11" s="191">
        <f>Investeringskalkyl!D160</f>
        <v>4.4211323069308639E-2</v>
      </c>
      <c r="I11" s="27" t="s">
        <v>49</v>
      </c>
      <c r="J11" s="69">
        <v>-0.1</v>
      </c>
      <c r="K11" s="49" t="s">
        <v>133</v>
      </c>
      <c r="N11" s="44"/>
    </row>
    <row r="12" spans="2:19">
      <c r="B12" s="27" t="s">
        <v>106</v>
      </c>
      <c r="C12" s="193" t="str">
        <f>Investeringskalkyl!D42</f>
        <v>-</v>
      </c>
      <c r="D12" s="193" t="str">
        <f>Investeringskalkyl!D124</f>
        <v>-</v>
      </c>
      <c r="E12" s="193" t="str">
        <f>Investeringskalkyl!D135</f>
        <v>-</v>
      </c>
      <c r="F12" s="193" t="str">
        <f>Investeringskalkyl!D146</f>
        <v>-</v>
      </c>
      <c r="G12" s="193" t="str">
        <f>Investeringskalkyl!D161</f>
        <v>-</v>
      </c>
      <c r="I12" s="27" t="s">
        <v>124</v>
      </c>
      <c r="J12" s="69">
        <v>0.1</v>
      </c>
      <c r="K12" s="49" t="s">
        <v>132</v>
      </c>
      <c r="N12" s="44"/>
    </row>
    <row r="13" spans="2:19">
      <c r="G13" s="1"/>
    </row>
    <row r="14" spans="2:19">
      <c r="G14" s="1"/>
    </row>
    <row r="15" spans="2:19">
      <c r="D15" s="53"/>
      <c r="G15" s="1"/>
      <c r="I15" s="53"/>
      <c r="J15" s="53"/>
    </row>
    <row r="16" spans="2:19">
      <c r="D16" s="53"/>
      <c r="G16" s="1"/>
    </row>
    <row r="17" spans="7:7">
      <c r="G17" s="1"/>
    </row>
    <row r="41" spans="2:34">
      <c r="B41" s="51"/>
      <c r="C41" s="55"/>
      <c r="D41" s="56" t="s">
        <v>3</v>
      </c>
      <c r="E41" s="56">
        <v>1</v>
      </c>
      <c r="F41" s="56">
        <v>2</v>
      </c>
      <c r="G41" s="56">
        <v>3</v>
      </c>
      <c r="H41" s="56">
        <v>4</v>
      </c>
      <c r="I41" s="56">
        <v>5</v>
      </c>
      <c r="J41" s="56">
        <v>6</v>
      </c>
      <c r="K41" s="56">
        <v>7</v>
      </c>
      <c r="L41" s="56">
        <v>8</v>
      </c>
      <c r="M41" s="56">
        <v>9</v>
      </c>
      <c r="N41" s="56">
        <v>10</v>
      </c>
      <c r="O41" s="56">
        <v>11</v>
      </c>
      <c r="P41" s="56">
        <v>12</v>
      </c>
      <c r="Q41" s="56">
        <v>13</v>
      </c>
      <c r="R41" s="56">
        <v>14</v>
      </c>
      <c r="S41" s="56">
        <v>15</v>
      </c>
      <c r="T41" s="56">
        <v>16</v>
      </c>
      <c r="U41" s="56">
        <v>17</v>
      </c>
      <c r="V41" s="56">
        <v>18</v>
      </c>
      <c r="W41" s="56">
        <v>19</v>
      </c>
      <c r="X41" s="56">
        <v>20</v>
      </c>
      <c r="Y41" s="56">
        <v>21</v>
      </c>
      <c r="Z41" s="56">
        <v>22</v>
      </c>
      <c r="AA41" s="56">
        <v>23</v>
      </c>
      <c r="AB41" s="56">
        <v>24</v>
      </c>
      <c r="AC41" s="56">
        <v>25</v>
      </c>
      <c r="AD41" s="56">
        <v>26</v>
      </c>
      <c r="AE41" s="56">
        <v>27</v>
      </c>
      <c r="AF41" s="56">
        <v>28</v>
      </c>
      <c r="AG41" s="56">
        <v>29</v>
      </c>
      <c r="AH41" s="56">
        <v>30</v>
      </c>
    </row>
    <row r="42" spans="2:34">
      <c r="B42" s="57" t="s">
        <v>119</v>
      </c>
      <c r="C42" s="198" t="s">
        <v>115</v>
      </c>
      <c r="D42" s="54">
        <f>Investeringskalkyl!D98</f>
        <v>-450000</v>
      </c>
      <c r="E42" s="54">
        <f>Investeringskalkyl!E98</f>
        <v>-551818.18181818177</v>
      </c>
      <c r="F42" s="54">
        <f>Investeringskalkyl!F98</f>
        <v>-657421.48760330572</v>
      </c>
      <c r="G42" s="54">
        <f>Investeringskalkyl!G98</f>
        <v>-656356.72426746809</v>
      </c>
      <c r="H42" s="54">
        <f>Investeringskalkyl!H98</f>
        <v>-662783.2470459668</v>
      </c>
      <c r="I42" s="54">
        <f>Investeringskalkyl!I98</f>
        <v>-621032.19174050458</v>
      </c>
      <c r="J42" s="54">
        <f>Investeringskalkyl!J98</f>
        <v>-592037.88682681543</v>
      </c>
      <c r="K42" s="54">
        <f>Investeringskalkyl!K98</f>
        <v>-566141.74334579811</v>
      </c>
      <c r="L42" s="54">
        <f>Investeringskalkyl!L98</f>
        <v>-511543.13297758339</v>
      </c>
      <c r="M42" s="54">
        <f>Investeringskalkyl!M98</f>
        <v>-462312.80426979938</v>
      </c>
      <c r="N42" s="54">
        <f>Investeringskalkyl!N98</f>
        <v>-417936.7077016792</v>
      </c>
      <c r="O42" s="54">
        <f>Investeringskalkyl!O98</f>
        <v>-377949.20091955812</v>
      </c>
      <c r="P42" s="54">
        <f>Investeringskalkyl!P98</f>
        <v>-341596.92202672071</v>
      </c>
      <c r="Q42" s="54">
        <f>Investeringskalkyl!Q98</f>
        <v>-308549.39576050499</v>
      </c>
      <c r="R42" s="54">
        <f>Investeringskalkyl!R98</f>
        <v>-278506.19006394513</v>
      </c>
      <c r="S42" s="54">
        <f>Investeringskalkyl!S98</f>
        <v>-251194.18488525442</v>
      </c>
      <c r="T42" s="54">
        <f>Investeringskalkyl!T98</f>
        <v>-226591.58884974406</v>
      </c>
      <c r="U42" s="54">
        <f>Investeringskalkyl!U98</f>
        <v>-204225.59245382558</v>
      </c>
      <c r="V42" s="54">
        <f>Investeringskalkyl!V98</f>
        <v>-183892.86845753604</v>
      </c>
      <c r="W42" s="54">
        <f>Investeringskalkyl!W98</f>
        <v>-165408.57391545468</v>
      </c>
      <c r="X42" s="54">
        <f>Investeringskalkyl!X98</f>
        <v>-148604.66978628974</v>
      </c>
      <c r="Y42" s="54" t="e">
        <f>Investeringskalkyl!Y98</f>
        <v>#N/A</v>
      </c>
      <c r="Z42" s="54" t="e">
        <f>Investeringskalkyl!Z98</f>
        <v>#N/A</v>
      </c>
      <c r="AA42" s="54" t="e">
        <f>Investeringskalkyl!AA98</f>
        <v>#N/A</v>
      </c>
      <c r="AB42" s="54" t="e">
        <f>Investeringskalkyl!AB98</f>
        <v>#N/A</v>
      </c>
      <c r="AC42" s="54" t="e">
        <f>Investeringskalkyl!AC98</f>
        <v>#N/A</v>
      </c>
      <c r="AD42" s="54" t="e">
        <f>Investeringskalkyl!AD98</f>
        <v>#N/A</v>
      </c>
      <c r="AE42" s="54" t="e">
        <f>Investeringskalkyl!AE98</f>
        <v>#N/A</v>
      </c>
      <c r="AF42" s="54" t="e">
        <f>Investeringskalkyl!AF98</f>
        <v>#N/A</v>
      </c>
      <c r="AG42" s="54" t="e">
        <f>Investeringskalkyl!AG98</f>
        <v>#N/A</v>
      </c>
      <c r="AH42" s="54" t="e">
        <f>Investeringskalkyl!AH98</f>
        <v>#N/A</v>
      </c>
    </row>
    <row r="43" spans="2:34">
      <c r="B43" s="58" t="s">
        <v>119</v>
      </c>
      <c r="C43" s="198" t="s">
        <v>116</v>
      </c>
      <c r="D43" s="54">
        <f>Investeringskalkyl!D117</f>
        <v>-562500</v>
      </c>
      <c r="E43" s="54">
        <f>Investeringskalkyl!E117</f>
        <v>-664318.18181818177</v>
      </c>
      <c r="F43" s="54">
        <f>Investeringskalkyl!F117</f>
        <v>-769921.48760330572</v>
      </c>
      <c r="G43" s="54">
        <f>Investeringskalkyl!G117</f>
        <v>-768856.72426746809</v>
      </c>
      <c r="H43" s="54">
        <f>Investeringskalkyl!H117</f>
        <v>-775283.2470459668</v>
      </c>
      <c r="I43" s="54">
        <f>Investeringskalkyl!I117</f>
        <v>-733532.19174050458</v>
      </c>
      <c r="J43" s="54">
        <f>Investeringskalkyl!J117</f>
        <v>-704537.88682681543</v>
      </c>
      <c r="K43" s="54">
        <f>Investeringskalkyl!K117</f>
        <v>-678641.74334579811</v>
      </c>
      <c r="L43" s="54">
        <f>Investeringskalkyl!L117</f>
        <v>-624043.13297758333</v>
      </c>
      <c r="M43" s="54">
        <f>Investeringskalkyl!M117</f>
        <v>-574812.80426979938</v>
      </c>
      <c r="N43" s="54">
        <f>Investeringskalkyl!N117</f>
        <v>-530436.7077016792</v>
      </c>
      <c r="O43" s="54">
        <f>Investeringskalkyl!O117</f>
        <v>-490449.20091955812</v>
      </c>
      <c r="P43" s="54">
        <f>Investeringskalkyl!P117</f>
        <v>-454096.92202672071</v>
      </c>
      <c r="Q43" s="54">
        <f>Investeringskalkyl!Q117</f>
        <v>-421049.39576050499</v>
      </c>
      <c r="R43" s="54">
        <f>Investeringskalkyl!R117</f>
        <v>-391006.19006394513</v>
      </c>
      <c r="S43" s="54">
        <f>Investeringskalkyl!S117</f>
        <v>-363694.18488525442</v>
      </c>
      <c r="T43" s="54">
        <f>Investeringskalkyl!T117</f>
        <v>-339091.58884974406</v>
      </c>
      <c r="U43" s="54">
        <f>Investeringskalkyl!U117</f>
        <v>-316725.59245382558</v>
      </c>
      <c r="V43" s="54">
        <f>Investeringskalkyl!V117</f>
        <v>-296392.86845753604</v>
      </c>
      <c r="W43" s="54">
        <f>Investeringskalkyl!W117</f>
        <v>-277908.57391545468</v>
      </c>
      <c r="X43" s="54">
        <f>Investeringskalkyl!X117</f>
        <v>-261104.66978628974</v>
      </c>
      <c r="Y43" s="54" t="e">
        <f>Investeringskalkyl!Y117</f>
        <v>#N/A</v>
      </c>
      <c r="Z43" s="54" t="e">
        <f>Investeringskalkyl!Z117</f>
        <v>#N/A</v>
      </c>
      <c r="AA43" s="54" t="e">
        <f>Investeringskalkyl!AA117</f>
        <v>#N/A</v>
      </c>
      <c r="AB43" s="54" t="e">
        <f>Investeringskalkyl!AB117</f>
        <v>#N/A</v>
      </c>
      <c r="AC43" s="54" t="e">
        <f>Investeringskalkyl!AC117</f>
        <v>#N/A</v>
      </c>
      <c r="AD43" s="54" t="e">
        <f>Investeringskalkyl!AD117</f>
        <v>#N/A</v>
      </c>
      <c r="AE43" s="54" t="e">
        <f>Investeringskalkyl!AE117</f>
        <v>#N/A</v>
      </c>
      <c r="AF43" s="54" t="e">
        <f>Investeringskalkyl!AF117</f>
        <v>#N/A</v>
      </c>
      <c r="AG43" s="54" t="e">
        <f>Investeringskalkyl!AG117</f>
        <v>#N/A</v>
      </c>
      <c r="AH43" s="54" t="e">
        <f>Investeringskalkyl!AH117</f>
        <v>#N/A</v>
      </c>
    </row>
    <row r="44" spans="2:34">
      <c r="B44" s="59" t="s">
        <v>119</v>
      </c>
      <c r="C44" s="198" t="s">
        <v>49</v>
      </c>
      <c r="D44" s="54">
        <f>Investeringskalkyl!D128</f>
        <v>-450000</v>
      </c>
      <c r="E44" s="54">
        <f>Investeringskalkyl!E128</f>
        <v>-552954.54545454541</v>
      </c>
      <c r="F44" s="54">
        <f>Investeringskalkyl!F128</f>
        <v>-659590.90909090906</v>
      </c>
      <c r="G44" s="54">
        <f>Investeringskalkyl!G128</f>
        <v>-686700.45078888047</v>
      </c>
      <c r="H44" s="54">
        <f>Investeringskalkyl!H128</f>
        <v>-718739.97814356931</v>
      </c>
      <c r="I44" s="54">
        <f>Investeringskalkyl!I128</f>
        <v>-712303.82308709668</v>
      </c>
      <c r="J44" s="54">
        <f>Investeringskalkyl!J128</f>
        <v>-715413.97294521611</v>
      </c>
      <c r="K44" s="54">
        <f>Investeringskalkyl!K128</f>
        <v>-718703.69743857021</v>
      </c>
      <c r="L44" s="54">
        <f>Investeringskalkyl!L128</f>
        <v>-698510.00636082329</v>
      </c>
      <c r="M44" s="54">
        <f>Investeringskalkyl!M128</f>
        <v>-680556.87700800993</v>
      </c>
      <c r="N44" s="54">
        <f>Investeringskalkyl!N128</f>
        <v>-664614.59803531785</v>
      </c>
      <c r="O44" s="54">
        <f>Investeringskalkyl!O128</f>
        <v>-650476.01633994933</v>
      </c>
      <c r="P44" s="54">
        <f>Investeringskalkyl!P128</f>
        <v>-637622.76025325072</v>
      </c>
      <c r="Q44" s="54">
        <f>Investeringskalkyl!Q128</f>
        <v>-625937.98199261562</v>
      </c>
      <c r="R44" s="54">
        <f>Investeringskalkyl!R128</f>
        <v>-615315.45630112919</v>
      </c>
      <c r="S44" s="54">
        <f>Investeringskalkyl!S128</f>
        <v>-605658.61476341425</v>
      </c>
      <c r="T44" s="54">
        <f>Investeringskalkyl!T128</f>
        <v>-597106.1674924274</v>
      </c>
      <c r="U44" s="54">
        <f>Investeringskalkyl!U128</f>
        <v>-589331.21542789391</v>
      </c>
      <c r="V44" s="54">
        <f>Investeringskalkyl!V128</f>
        <v>-582263.07718740881</v>
      </c>
      <c r="W44" s="54">
        <f>Investeringskalkyl!W128</f>
        <v>-575837.49696878612</v>
      </c>
      <c r="X44" s="54">
        <f>Investeringskalkyl!X128</f>
        <v>-569996.06040640175</v>
      </c>
      <c r="Y44" s="54" t="e">
        <f>Investeringskalkyl!Y128</f>
        <v>#N/A</v>
      </c>
      <c r="Z44" s="54" t="e">
        <f>Investeringskalkyl!Z128</f>
        <v>#N/A</v>
      </c>
      <c r="AA44" s="54" t="e">
        <f>Investeringskalkyl!AA128</f>
        <v>#N/A</v>
      </c>
      <c r="AB44" s="54" t="e">
        <f>Investeringskalkyl!AB128</f>
        <v>#N/A</v>
      </c>
      <c r="AC44" s="54" t="e">
        <f>Investeringskalkyl!AC128</f>
        <v>#N/A</v>
      </c>
      <c r="AD44" s="54" t="e">
        <f>Investeringskalkyl!AD128</f>
        <v>#N/A</v>
      </c>
      <c r="AE44" s="54" t="e">
        <f>Investeringskalkyl!AE128</f>
        <v>#N/A</v>
      </c>
      <c r="AF44" s="54" t="e">
        <f>Investeringskalkyl!AF128</f>
        <v>#N/A</v>
      </c>
      <c r="AG44" s="54" t="e">
        <f>Investeringskalkyl!AG128</f>
        <v>#N/A</v>
      </c>
      <c r="AH44" s="54" t="e">
        <f>Investeringskalkyl!AH128</f>
        <v>#N/A</v>
      </c>
    </row>
    <row r="45" spans="2:34">
      <c r="B45" s="60" t="s">
        <v>119</v>
      </c>
      <c r="C45" s="198" t="s">
        <v>124</v>
      </c>
      <c r="D45" s="54">
        <f>Investeringskalkyl!D139</f>
        <v>-450000</v>
      </c>
      <c r="E45" s="54">
        <f>Investeringskalkyl!E139</f>
        <v>-578409.09090909094</v>
      </c>
      <c r="F45" s="54">
        <f>Investeringskalkyl!F139</f>
        <v>-711446.28099173552</v>
      </c>
      <c r="G45" s="54">
        <f>Investeringskalkyl!G139</f>
        <v>-738289.63185574743</v>
      </c>
      <c r="H45" s="54">
        <f>Investeringskalkyl!H139</f>
        <v>-771935.78990506101</v>
      </c>
      <c r="I45" s="54">
        <f>Investeringskalkyl!I139</f>
        <v>-755061.8710222228</v>
      </c>
      <c r="J45" s="54">
        <f>Investeringskalkyl!J139</f>
        <v>-750923.44465191988</v>
      </c>
      <c r="K45" s="54">
        <f>Investeringskalkyl!K139</f>
        <v>-747739.1332750197</v>
      </c>
      <c r="L45" s="54">
        <f>Investeringskalkyl!L139</f>
        <v>-713895.78960521915</v>
      </c>
      <c r="M45" s="54">
        <f>Investeringskalkyl!M139</f>
        <v>-683635.07807545981</v>
      </c>
      <c r="N45" s="54">
        <f>Investeringskalkyl!N139</f>
        <v>-656598.77496073756</v>
      </c>
      <c r="O45" s="54">
        <f>Investeringskalkyl!O139</f>
        <v>-632463.31656983879</v>
      </c>
      <c r="P45" s="54">
        <f>Investeringskalkyl!P139</f>
        <v>-610521.99075993092</v>
      </c>
      <c r="Q45" s="54">
        <f>Investeringskalkyl!Q139</f>
        <v>-590575.33093274187</v>
      </c>
      <c r="R45" s="54">
        <f>Investeringskalkyl!R139</f>
        <v>-572442.00381711544</v>
      </c>
      <c r="S45" s="54">
        <f>Investeringskalkyl!S139</f>
        <v>-555957.1609847279</v>
      </c>
      <c r="T45" s="54">
        <f>Investeringskalkyl!T139</f>
        <v>-541254.06470486335</v>
      </c>
      <c r="U45" s="54">
        <f>Investeringskalkyl!U139</f>
        <v>-527887.61354135023</v>
      </c>
      <c r="V45" s="54">
        <f>Investeringskalkyl!V139</f>
        <v>-515736.29430179275</v>
      </c>
      <c r="W45" s="54">
        <f>Investeringskalkyl!W139</f>
        <v>-504689.64044764964</v>
      </c>
      <c r="X45" s="54">
        <f>Investeringskalkyl!X139</f>
        <v>-494647.22785297409</v>
      </c>
      <c r="Y45" s="54" t="e">
        <f>Investeringskalkyl!Y139</f>
        <v>#N/A</v>
      </c>
      <c r="Z45" s="54" t="e">
        <f>Investeringskalkyl!Z139</f>
        <v>#N/A</v>
      </c>
      <c r="AA45" s="54" t="e">
        <f>Investeringskalkyl!AA139</f>
        <v>#N/A</v>
      </c>
      <c r="AB45" s="54" t="e">
        <f>Investeringskalkyl!AB139</f>
        <v>#N/A</v>
      </c>
      <c r="AC45" s="54" t="e">
        <f>Investeringskalkyl!AC139</f>
        <v>#N/A</v>
      </c>
      <c r="AD45" s="54" t="e">
        <f>Investeringskalkyl!AD139</f>
        <v>#N/A</v>
      </c>
      <c r="AE45" s="54" t="e">
        <f>Investeringskalkyl!AE139</f>
        <v>#N/A</v>
      </c>
      <c r="AF45" s="54" t="e">
        <f>Investeringskalkyl!AF139</f>
        <v>#N/A</v>
      </c>
      <c r="AG45" s="54" t="e">
        <f>Investeringskalkyl!AG139</f>
        <v>#N/A</v>
      </c>
      <c r="AH45" s="54" t="e">
        <f>Investeringskalkyl!AH139</f>
        <v>#N/A</v>
      </c>
    </row>
    <row r="46" spans="2:34">
      <c r="B46" s="61" t="s">
        <v>119</v>
      </c>
      <c r="C46" s="27" t="s">
        <v>125</v>
      </c>
      <c r="D46" s="47">
        <f>Investeringskalkyl!D154</f>
        <v>-495000.00000000006</v>
      </c>
      <c r="E46" s="47">
        <f>Investeringskalkyl!E154</f>
        <v>-607909.09090909094</v>
      </c>
      <c r="F46" s="47">
        <f>Investeringskalkyl!F154</f>
        <v>-724899.17355371907</v>
      </c>
      <c r="G46" s="47">
        <f>Investeringskalkyl!G154</f>
        <v>-746267.37791134487</v>
      </c>
      <c r="H46" s="47">
        <f>Investeringskalkyl!H154</f>
        <v>-773826.95662864554</v>
      </c>
      <c r="I46" s="47">
        <f>Investeringskalkyl!I154</f>
        <v>-756152.71599182871</v>
      </c>
      <c r="J46" s="47">
        <f>Investeringskalkyl!J154</f>
        <v>-749942.54440421762</v>
      </c>
      <c r="K46" s="47">
        <f>Investeringskalkyl!K154</f>
        <v>-744805.48095459573</v>
      </c>
      <c r="L46" s="47">
        <f>Investeringskalkyl!L154</f>
        <v>-712270.94498193369</v>
      </c>
      <c r="M46" s="47">
        <f>Investeringskalkyl!M154</f>
        <v>-683139.34288734791</v>
      </c>
      <c r="N46" s="47">
        <f>Investeringskalkyl!N154</f>
        <v>-657072.69073875807</v>
      </c>
      <c r="O46" s="47">
        <f>Investeringskalkyl!O154</f>
        <v>-633765.57334782695</v>
      </c>
      <c r="P46" s="47">
        <f>Investeringskalkyl!P154</f>
        <v>-612577.28481061687</v>
      </c>
      <c r="Q46" s="47">
        <f>Investeringskalkyl!Q154</f>
        <v>-593315.20432224416</v>
      </c>
      <c r="R46" s="47">
        <f>Investeringskalkyl!R154</f>
        <v>-575804.22206008702</v>
      </c>
      <c r="S46" s="47">
        <f>Investeringskalkyl!S154</f>
        <v>-559885.14727630792</v>
      </c>
      <c r="T46" s="47">
        <f>Investeringskalkyl!T154</f>
        <v>-545662.41064886528</v>
      </c>
      <c r="U46" s="47">
        <f>Investeringskalkyl!U154</f>
        <v>-532732.6500784629</v>
      </c>
      <c r="V46" s="47">
        <f>Investeringskalkyl!V154</f>
        <v>-520978.32228718797</v>
      </c>
      <c r="W46" s="47">
        <f>Investeringskalkyl!W154</f>
        <v>-510292.56974966533</v>
      </c>
      <c r="X46" s="47">
        <f>Investeringskalkyl!X154</f>
        <v>-500578.2492610084</v>
      </c>
      <c r="Y46" s="47" t="e">
        <f>Investeringskalkyl!Y154</f>
        <v>#N/A</v>
      </c>
      <c r="Z46" s="47" t="e">
        <f>Investeringskalkyl!Z154</f>
        <v>#N/A</v>
      </c>
      <c r="AA46" s="47" t="e">
        <f>Investeringskalkyl!AA154</f>
        <v>#N/A</v>
      </c>
      <c r="AB46" s="47" t="e">
        <f>Investeringskalkyl!AB154</f>
        <v>#N/A</v>
      </c>
      <c r="AC46" s="47" t="e">
        <f>Investeringskalkyl!AC154</f>
        <v>#N/A</v>
      </c>
      <c r="AD46" s="47" t="e">
        <f>Investeringskalkyl!AD154</f>
        <v>#N/A</v>
      </c>
      <c r="AE46" s="47" t="e">
        <f>Investeringskalkyl!AE154</f>
        <v>#N/A</v>
      </c>
      <c r="AF46" s="47" t="e">
        <f>Investeringskalkyl!AF154</f>
        <v>#N/A</v>
      </c>
      <c r="AG46" s="47" t="e">
        <f>Investeringskalkyl!AG154</f>
        <v>#N/A</v>
      </c>
      <c r="AH46" s="47" t="e">
        <f>Investeringskalkyl!AH154</f>
        <v>#N/A</v>
      </c>
    </row>
  </sheetData>
  <sheetProtection algorithmName="SHA-512" hashValue="eiiHkh7Kv0vCe9PrTO3GpCOtVAO8KQ/7c4O4lCGHetXEDb3ZYOgZy6cKCU8BkKgCIBxYAIB7qO1PuG9/66vWfw==" saltValue="0ShrHc7ofILDcDKwnHsiLg==" spinCount="100000" sheet="1" autoFilter="0" pivotTables="0"/>
  <mergeCells count="2">
    <mergeCell ref="I8:J8"/>
    <mergeCell ref="I6:J6"/>
  </mergeCells>
  <pageMargins left="0.7" right="0.7" top="0.75" bottom="0.75" header="0.3" footer="0.3"/>
  <pageSetup paperSize="9" scale="6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7EDD8-DD4A-41AA-986A-310D3B81626E}">
  <dimension ref="A2:E12"/>
  <sheetViews>
    <sheetView showGridLines="0" workbookViewId="0"/>
  </sheetViews>
  <sheetFormatPr defaultColWidth="9.140625" defaultRowHeight="14.45"/>
  <cols>
    <col min="1" max="1" width="9.140625" style="91"/>
    <col min="2" max="2" width="21.140625" style="91" bestFit="1" customWidth="1"/>
    <col min="3" max="4" width="9.140625" style="91"/>
    <col min="5" max="5" width="30.5703125" style="91" bestFit="1" customWidth="1"/>
    <col min="6" max="16384" width="9.140625" style="91"/>
  </cols>
  <sheetData>
    <row r="2" spans="1:5">
      <c r="B2" s="91" t="s">
        <v>134</v>
      </c>
      <c r="E2" s="91" t="s">
        <v>134</v>
      </c>
    </row>
    <row r="3" spans="1:5">
      <c r="A3" s="70"/>
      <c r="B3" s="98" t="s">
        <v>135</v>
      </c>
      <c r="C3" s="99" t="s">
        <v>136</v>
      </c>
      <c r="D3" s="70"/>
      <c r="E3" s="104" t="s">
        <v>137</v>
      </c>
    </row>
    <row r="4" spans="1:5">
      <c r="B4" s="100">
        <v>5</v>
      </c>
      <c r="C4" s="101">
        <v>5</v>
      </c>
      <c r="D4" s="70"/>
      <c r="E4" s="105" t="s">
        <v>96</v>
      </c>
    </row>
    <row r="5" spans="1:5">
      <c r="A5" s="92"/>
      <c r="B5" s="100">
        <v>10</v>
      </c>
      <c r="C5" s="101">
        <v>10</v>
      </c>
      <c r="D5" s="70"/>
      <c r="E5" s="105" t="s">
        <v>138</v>
      </c>
    </row>
    <row r="6" spans="1:5">
      <c r="A6" s="70"/>
      <c r="B6" s="100" t="s">
        <v>92</v>
      </c>
      <c r="C6" s="101">
        <v>15</v>
      </c>
      <c r="D6" s="70"/>
      <c r="E6" s="106"/>
    </row>
    <row r="7" spans="1:5">
      <c r="A7" s="70"/>
      <c r="B7" s="100" t="s">
        <v>45</v>
      </c>
      <c r="C7" s="101">
        <v>20</v>
      </c>
      <c r="D7" s="70"/>
      <c r="E7" s="106"/>
    </row>
    <row r="8" spans="1:5">
      <c r="A8" s="70"/>
      <c r="B8" s="100" t="s">
        <v>93</v>
      </c>
      <c r="C8" s="101">
        <v>25</v>
      </c>
      <c r="D8" s="70"/>
      <c r="E8" s="106"/>
    </row>
    <row r="9" spans="1:5">
      <c r="B9" s="102" t="s">
        <v>94</v>
      </c>
      <c r="C9" s="103">
        <v>30</v>
      </c>
      <c r="D9" s="70"/>
      <c r="E9" s="107"/>
    </row>
    <row r="10" spans="1:5">
      <c r="B10" s="70"/>
      <c r="C10" s="70"/>
      <c r="D10" s="70"/>
    </row>
    <row r="11" spans="1:5">
      <c r="A11" s="70"/>
      <c r="B11" s="70"/>
      <c r="C11" s="70"/>
      <c r="D11" s="70"/>
    </row>
    <row r="12" spans="1:5">
      <c r="B12" s="108" t="s">
        <v>139</v>
      </c>
      <c r="C12" s="97">
        <f>VLOOKUP(Investeringskalkyl!D17,Data!$B$4:$C$9,2,FALSE)</f>
        <v>20</v>
      </c>
      <c r="D12" s="144" t="s">
        <v>140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A5C1D-FB9D-4C2D-BB17-FBD2D769F9FC}">
  <dimension ref="B2:D26"/>
  <sheetViews>
    <sheetView showGridLines="0" workbookViewId="0">
      <selection activeCell="C12" sqref="C12"/>
    </sheetView>
  </sheetViews>
  <sheetFormatPr defaultRowHeight="14.45"/>
  <cols>
    <col min="1" max="1" width="5.7109375" customWidth="1"/>
    <col min="2" max="2" width="9.140625" style="72"/>
    <col min="3" max="3" width="82.5703125" style="72" customWidth="1"/>
    <col min="4" max="4" width="5.7109375" customWidth="1"/>
  </cols>
  <sheetData>
    <row r="2" spans="2:4">
      <c r="B2" s="73" t="s">
        <v>141</v>
      </c>
      <c r="C2" s="73" t="s">
        <v>7</v>
      </c>
      <c r="D2" s="73" t="s">
        <v>142</v>
      </c>
    </row>
    <row r="3" spans="2:4">
      <c r="B3" s="74" t="s">
        <v>143</v>
      </c>
      <c r="C3" s="74" t="s">
        <v>144</v>
      </c>
      <c r="D3" s="74" t="s">
        <v>145</v>
      </c>
    </row>
    <row r="4" spans="2:4" ht="29.1">
      <c r="B4" s="74" t="s">
        <v>146</v>
      </c>
      <c r="C4" s="74" t="s">
        <v>147</v>
      </c>
      <c r="D4" s="74" t="s">
        <v>145</v>
      </c>
    </row>
    <row r="5" spans="2:4" ht="29.1">
      <c r="B5" s="74" t="s">
        <v>148</v>
      </c>
      <c r="C5" s="74" t="s">
        <v>149</v>
      </c>
      <c r="D5" s="74" t="s">
        <v>145</v>
      </c>
    </row>
    <row r="6" spans="2:4">
      <c r="B6" s="190" t="s">
        <v>150</v>
      </c>
      <c r="C6" s="190" t="s">
        <v>151</v>
      </c>
      <c r="D6" s="190" t="s">
        <v>145</v>
      </c>
    </row>
    <row r="7" spans="2:4">
      <c r="B7" s="74"/>
      <c r="C7" s="74"/>
      <c r="D7" s="74"/>
    </row>
    <row r="8" spans="2:4">
      <c r="B8" s="74"/>
      <c r="C8" s="74"/>
      <c r="D8" s="74"/>
    </row>
    <row r="9" spans="2:4">
      <c r="B9" s="74"/>
      <c r="C9" s="74"/>
      <c r="D9" s="74"/>
    </row>
    <row r="10" spans="2:4">
      <c r="B10" s="74"/>
      <c r="C10" s="74"/>
      <c r="D10" s="74"/>
    </row>
    <row r="11" spans="2:4">
      <c r="B11" s="74"/>
      <c r="C11" s="74"/>
      <c r="D11" s="74"/>
    </row>
    <row r="12" spans="2:4">
      <c r="B12" s="74"/>
      <c r="C12" s="74"/>
      <c r="D12" s="74"/>
    </row>
    <row r="13" spans="2:4">
      <c r="B13" s="74"/>
      <c r="C13" s="74"/>
      <c r="D13" s="74"/>
    </row>
    <row r="14" spans="2:4">
      <c r="B14" s="74"/>
      <c r="C14" s="74"/>
      <c r="D14" s="74"/>
    </row>
    <row r="15" spans="2:4">
      <c r="B15" s="74"/>
      <c r="C15" s="74"/>
      <c r="D15" s="74"/>
    </row>
    <row r="16" spans="2:4">
      <c r="B16" s="74"/>
      <c r="C16" s="74"/>
      <c r="D16" s="74"/>
    </row>
    <row r="17" spans="2:4">
      <c r="B17" s="74"/>
      <c r="C17" s="74"/>
      <c r="D17" s="74"/>
    </row>
    <row r="18" spans="2:4">
      <c r="B18" s="74"/>
      <c r="C18" s="74"/>
      <c r="D18" s="74"/>
    </row>
    <row r="19" spans="2:4">
      <c r="B19" s="74"/>
      <c r="C19" s="74"/>
      <c r="D19" s="74"/>
    </row>
    <row r="20" spans="2:4">
      <c r="B20" s="74"/>
      <c r="C20" s="74"/>
      <c r="D20" s="74"/>
    </row>
    <row r="21" spans="2:4">
      <c r="B21" s="74"/>
      <c r="C21" s="74"/>
      <c r="D21" s="74"/>
    </row>
    <row r="22" spans="2:4">
      <c r="B22" s="74"/>
      <c r="C22" s="74"/>
      <c r="D22" s="74"/>
    </row>
    <row r="23" spans="2:4">
      <c r="B23" s="74"/>
      <c r="C23" s="74"/>
      <c r="D23" s="74"/>
    </row>
    <row r="24" spans="2:4">
      <c r="B24" s="74"/>
      <c r="C24" s="74"/>
      <c r="D24" s="74"/>
    </row>
    <row r="25" spans="2:4">
      <c r="B25" s="74"/>
      <c r="C25" s="74"/>
      <c r="D25" s="74"/>
    </row>
    <row r="26" spans="2:4">
      <c r="B26" s="74"/>
      <c r="C26" s="74"/>
      <c r="D26" s="7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f76954-8337-4238-9cfb-3cf009c867c4" xsi:nil="true"/>
    <lcf76f155ced4ddcb4097134ff3c332f xmlns="11e99a0a-e4b1-4eb2-bcae-e22e6ac4087f">
      <Terms xmlns="http://schemas.microsoft.com/office/infopath/2007/PartnerControls"/>
    </lcf76f155ced4ddcb4097134ff3c332f>
    <Bild xmlns="11e99a0a-e4b1-4eb2-bcae-e22e6ac408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DE6B94BC07A14B9EA71EBDDBEFF8A6" ma:contentTypeVersion="19" ma:contentTypeDescription="Skapa ett nytt dokument." ma:contentTypeScope="" ma:versionID="6bb6d048aee222ea4186eda9c578ac0d">
  <xsd:schema xmlns:xsd="http://www.w3.org/2001/XMLSchema" xmlns:xs="http://www.w3.org/2001/XMLSchema" xmlns:p="http://schemas.microsoft.com/office/2006/metadata/properties" xmlns:ns2="11e99a0a-e4b1-4eb2-bcae-e22e6ac4087f" xmlns:ns3="1bf76954-8337-4238-9cfb-3cf009c867c4" targetNamespace="http://schemas.microsoft.com/office/2006/metadata/properties" ma:root="true" ma:fieldsID="14b1e0d100a0487570b20f0e3e3dd5fd" ns2:_="" ns3:_="">
    <xsd:import namespace="11e99a0a-e4b1-4eb2-bcae-e22e6ac4087f"/>
    <xsd:import namespace="1bf76954-8337-4238-9cfb-3cf009c867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Bild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99a0a-e4b1-4eb2-bcae-e22e6ac408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markeringar" ma:readOnly="false" ma:fieldId="{5cf76f15-5ced-4ddc-b409-7134ff3c332f}" ma:taxonomyMulti="true" ma:sspId="35a2ede7-b573-4280-91b0-c0913bef1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Bild" ma:index="24" nillable="true" ma:displayName="Bild" ma:format="Thumbnail" ma:internalName="Bild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76954-8337-4238-9cfb-3cf009c867c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d94c835-5b6a-4146-a5bf-c9851b9911f7}" ma:internalName="TaxCatchAll" ma:showField="CatchAllData" ma:web="1bf76954-8337-4238-9cfb-3cf009c867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6749-5C8D-4844-A5A1-F6EF400B700D}"/>
</file>

<file path=customXml/itemProps2.xml><?xml version="1.0" encoding="utf-8"?>
<ds:datastoreItem xmlns:ds="http://schemas.openxmlformats.org/officeDocument/2006/customXml" ds:itemID="{DC522E9C-5DBF-4CC6-AB90-6EE551C06060}"/>
</file>

<file path=customXml/itemProps3.xml><?xml version="1.0" encoding="utf-8"?>
<ds:datastoreItem xmlns:ds="http://schemas.openxmlformats.org/officeDocument/2006/customXml" ds:itemID="{8CE35444-38E4-4AC6-86B7-43F11423AC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Olander</dc:creator>
  <cp:keywords/>
  <dc:description/>
  <cp:lastModifiedBy>Marie Karlberg</cp:lastModifiedBy>
  <cp:revision/>
  <dcterms:created xsi:type="dcterms:W3CDTF">2017-01-25T14:37:31Z</dcterms:created>
  <dcterms:modified xsi:type="dcterms:W3CDTF">2023-06-30T08:33:28Z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0x010100FCDE6B94BC07A14B9EA71EBDDBEFF8A6</vt:lpwstr>
  </property>
  <property fmtid="{D5CDD505-2E9C-101B-9397-08002B2CF9AE}" pid="3" name="MediaServiceImageTags">
    <vt:lpwstr/>
  </property>
</Properties>
</file>